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4320" windowWidth="15330" windowHeight="4380" tabRatio="634" activeTab="0"/>
  </bookViews>
  <sheets>
    <sheet name="USD" sheetId="1" r:id="rId1"/>
    <sheet name="Руб" sheetId="2" r:id="rId2"/>
    <sheet name="USD Инвестиц" sheetId="3" r:id="rId3"/>
    <sheet name="Руб Инвестиц" sheetId="4" r:id="rId4"/>
    <sheet name="USD Нецелевой" sheetId="5" r:id="rId5"/>
    <sheet name="Руб Нецелевой" sheetId="6" r:id="rId6"/>
    <sheet name="USD Рефинансирование" sheetId="7" r:id="rId7"/>
    <sheet name="Руб Рефинансирование" sheetId="8" r:id="rId8"/>
    <sheet name="USD Улучшение" sheetId="9" r:id="rId9"/>
    <sheet name="Руб Улучшение " sheetId="10" r:id="rId10"/>
    <sheet name="USD Работники" sheetId="11" r:id="rId11"/>
    <sheet name="Руб Работники" sheetId="12" r:id="rId12"/>
    <sheet name="USD Работники Инвестиц" sheetId="13" r:id="rId13"/>
    <sheet name="Руб Работники Инвестиц" sheetId="14" r:id="rId14"/>
  </sheets>
  <definedNames>
    <definedName name="_xlnm.Print_Area" localSheetId="0">'USD'!$A$3:$J$16</definedName>
    <definedName name="_xlnm.Print_Area" localSheetId="2">'USD Инвестиц'!$A$3:$J$19</definedName>
    <definedName name="_xlnm.Print_Area" localSheetId="4">'USD Нецелевой'!$A$3:$J$17</definedName>
    <definedName name="_xlnm.Print_Area" localSheetId="8">'USD Улучшение'!$A$3:$J$20</definedName>
    <definedName name="_xlnm.Print_Area" localSheetId="1">'Руб'!$A$4:$J$16</definedName>
    <definedName name="_xlnm.Print_Area" localSheetId="3">'Руб Инвестиц'!$A$3:$J$19</definedName>
    <definedName name="_xlnm.Print_Area" localSheetId="5">'Руб Нецелевой'!$A$4:$J$17</definedName>
    <definedName name="_xlnm.Print_Area" localSheetId="9">'Руб Улучшение '!$A$3:$J$20</definedName>
  </definedNames>
  <calcPr fullCalcOnLoad="1"/>
</workbook>
</file>

<file path=xl/comments11.xml><?xml version="1.0" encoding="utf-8"?>
<comments xmlns="http://schemas.openxmlformats.org/spreadsheetml/2006/main">
  <authors>
    <author>Михаил Бардин</author>
  </authors>
  <commentList>
    <comment ref="J18" authorId="0">
      <text>
        <r>
          <rPr>
            <b/>
            <sz val="10"/>
            <rFont val="Arial"/>
            <family val="2"/>
          </rPr>
          <t>Михаил Бардин:</t>
        </r>
        <r>
          <rPr>
            <sz val="10"/>
            <rFont val="Arial"/>
            <family val="2"/>
          </rPr>
          <t xml:space="preserve">
расчет доли</t>
        </r>
      </text>
    </comment>
    <comment ref="H4" authorId="0">
      <text>
        <r>
          <rPr>
            <b/>
            <sz val="8"/>
            <rFont val="Tahoma"/>
            <family val="0"/>
          </rPr>
          <t>Михаил Бардин:</t>
        </r>
        <r>
          <rPr>
            <sz val="8"/>
            <rFont val="Tahoma"/>
            <family val="0"/>
          </rPr>
          <t xml:space="preserve">
Выбирите параметр расчета
</t>
        </r>
      </text>
    </comment>
  </commentList>
</comments>
</file>

<file path=xl/comments12.xml><?xml version="1.0" encoding="utf-8"?>
<comments xmlns="http://schemas.openxmlformats.org/spreadsheetml/2006/main">
  <authors>
    <author>Михаил Бардин</author>
  </authors>
  <commentList>
    <comment ref="J18" authorId="0">
      <text>
        <r>
          <rPr>
            <b/>
            <sz val="10"/>
            <rFont val="Arial"/>
            <family val="2"/>
          </rPr>
          <t>Михаил Бардин:</t>
        </r>
        <r>
          <rPr>
            <sz val="10"/>
            <rFont val="Arial"/>
            <family val="2"/>
          </rPr>
          <t xml:space="preserve">
расчет доли</t>
        </r>
      </text>
    </comment>
    <comment ref="H4" authorId="0">
      <text>
        <r>
          <rPr>
            <b/>
            <sz val="8"/>
            <rFont val="Tahoma"/>
            <family val="0"/>
          </rPr>
          <t>Михаил Бардин:</t>
        </r>
        <r>
          <rPr>
            <sz val="8"/>
            <rFont val="Tahoma"/>
            <family val="0"/>
          </rPr>
          <t xml:space="preserve">
Выбирите параметр расчета</t>
        </r>
      </text>
    </comment>
  </commentList>
</comments>
</file>

<file path=xl/comments13.xml><?xml version="1.0" encoding="utf-8"?>
<comments xmlns="http://schemas.openxmlformats.org/spreadsheetml/2006/main">
  <authors>
    <author>Михаил Бардин</author>
  </authors>
  <commentList>
    <comment ref="J21" authorId="0">
      <text>
        <r>
          <rPr>
            <b/>
            <sz val="10"/>
            <rFont val="Arial"/>
            <family val="2"/>
          </rPr>
          <t>Михаил Бардин:</t>
        </r>
        <r>
          <rPr>
            <sz val="10"/>
            <rFont val="Arial"/>
            <family val="2"/>
          </rPr>
          <t xml:space="preserve">
расчет доли</t>
        </r>
      </text>
    </comment>
    <comment ref="H4" authorId="0">
      <text>
        <r>
          <rPr>
            <b/>
            <sz val="8"/>
            <rFont val="Tahoma"/>
            <family val="0"/>
          </rPr>
          <t>Михаил Бардин:</t>
        </r>
        <r>
          <rPr>
            <sz val="8"/>
            <rFont val="Tahoma"/>
            <family val="0"/>
          </rPr>
          <t xml:space="preserve">
Выбирите параметр расчета
 </t>
        </r>
      </text>
    </comment>
  </commentList>
</comments>
</file>

<file path=xl/comments14.xml><?xml version="1.0" encoding="utf-8"?>
<comments xmlns="http://schemas.openxmlformats.org/spreadsheetml/2006/main">
  <authors>
    <author>Михаил Бардин</author>
  </authors>
  <commentList>
    <comment ref="J21" authorId="0">
      <text>
        <r>
          <rPr>
            <b/>
            <sz val="10"/>
            <rFont val="Arial"/>
            <family val="2"/>
          </rPr>
          <t>Михаил Бардин:</t>
        </r>
        <r>
          <rPr>
            <sz val="10"/>
            <rFont val="Arial"/>
            <family val="2"/>
          </rPr>
          <t xml:space="preserve">
расчет доли</t>
        </r>
      </text>
    </comment>
    <comment ref="H4" authorId="0">
      <text>
        <r>
          <rPr>
            <b/>
            <sz val="8"/>
            <rFont val="Tahoma"/>
            <family val="0"/>
          </rPr>
          <t>Михаил Бардин:</t>
        </r>
        <r>
          <rPr>
            <sz val="8"/>
            <rFont val="Tahoma"/>
            <family val="0"/>
          </rPr>
          <t xml:space="preserve">
Выбирите параметр расчета</t>
        </r>
      </text>
    </comment>
  </commentList>
</comments>
</file>

<file path=xl/sharedStrings.xml><?xml version="1.0" encoding="utf-8"?>
<sst xmlns="http://schemas.openxmlformats.org/spreadsheetml/2006/main" count="460" uniqueCount="174">
  <si>
    <t>Срок кредита</t>
  </si>
  <si>
    <t xml:space="preserve"> лет</t>
  </si>
  <si>
    <t>Проц. ставка</t>
  </si>
  <si>
    <t>Кол-во членов семьи</t>
  </si>
  <si>
    <t>Расчет по квартире</t>
  </si>
  <si>
    <t>Расчет по кредиту</t>
  </si>
  <si>
    <t>Расчет по платежам</t>
  </si>
  <si>
    <t>Расчет по зарплате</t>
  </si>
  <si>
    <t>Расчет по первому взносу</t>
  </si>
  <si>
    <t>Стоимость квартиры</t>
  </si>
  <si>
    <t>Сумма кредита</t>
  </si>
  <si>
    <t>Ежемес. Платежи</t>
  </si>
  <si>
    <t>Зарплата после налогообложения</t>
  </si>
  <si>
    <t>Первый взнос</t>
  </si>
  <si>
    <t>Курс доллара</t>
  </si>
  <si>
    <t>Срок строительства</t>
  </si>
  <si>
    <t xml:space="preserve"> месяцев</t>
  </si>
  <si>
    <t>Проц. ставка после регистрации прав собственности</t>
  </si>
  <si>
    <t>Проц. ставка на стадии строительства</t>
  </si>
  <si>
    <t>Ежемес. платежи после регистрации прав собственности</t>
  </si>
  <si>
    <t>Остаток ссудной задолженности после окончания  строительства</t>
  </si>
  <si>
    <t>По остальным параметрам</t>
  </si>
  <si>
    <t>По зарплате</t>
  </si>
  <si>
    <t>* - или совокупный доход Заемщика и Поручителей, если все являются Работниками Группы ВТБ</t>
  </si>
  <si>
    <t>** - или совокупный доход Поручителей (если их несколько)</t>
  </si>
  <si>
    <t>*** - влияет на размер % ставки</t>
  </si>
  <si>
    <t>Регион</t>
  </si>
  <si>
    <t>Ленинградская область (включая г. Санкт-Петербург)</t>
  </si>
  <si>
    <t>Тип выданного кредита</t>
  </si>
  <si>
    <t>Покупка квартиры</t>
  </si>
  <si>
    <t>Залог недвижимости</t>
  </si>
  <si>
    <t>Процентная ставка по действующему кредиту</t>
  </si>
  <si>
    <t>лет</t>
  </si>
  <si>
    <t>Срок рефинсирования</t>
  </si>
  <si>
    <t>мес.</t>
  </si>
  <si>
    <t>Ежемесячный платеж на этапе рефинансирования</t>
  </si>
  <si>
    <t>Красноярский край (не включая г. Красноярск)</t>
  </si>
  <si>
    <t>г. Красноярск</t>
  </si>
  <si>
    <t>Нижегородская область (не включая г. Нижний Новгород)</t>
  </si>
  <si>
    <t>г. Нижний Новгород</t>
  </si>
  <si>
    <t>Новосибирская область (не включая г. Новосибирск)</t>
  </si>
  <si>
    <t>г. Новосибирск</t>
  </si>
  <si>
    <t>г. Казань</t>
  </si>
  <si>
    <t>Ростовская область (не включая г. Ростов-на-Дону)</t>
  </si>
  <si>
    <t>г. Ростов-на-Дону</t>
  </si>
  <si>
    <t>г. Самара</t>
  </si>
  <si>
    <t>Свердловская область (не включая г. Екатеринбург)</t>
  </si>
  <si>
    <t>г. Екатеринбург</t>
  </si>
  <si>
    <t>Тюменская область (не включая г. Тюмень)</t>
  </si>
  <si>
    <t>г. Тюмень</t>
  </si>
  <si>
    <t>Хабаровский край (не включая г. Хабаровск)</t>
  </si>
  <si>
    <t>г. Хабаровск</t>
  </si>
  <si>
    <t>Проц. ставка после регистр. прав собств.</t>
  </si>
  <si>
    <t>Проц. ставка после регист. прав собств.</t>
  </si>
  <si>
    <t>Республика Татарстан (не включая г. Казань)</t>
  </si>
  <si>
    <t>ОСЗ после окончания срока рефинансирования</t>
  </si>
  <si>
    <t>Проц. ставка по кредиту на период рефинанс.</t>
  </si>
  <si>
    <t>Проц. ставка по кредиту после периода рефинанс.</t>
  </si>
  <si>
    <t>Ежемес. платежи после окончания срока рефинанс.</t>
  </si>
  <si>
    <t>Доход Заемщика-Работника ВТБ *</t>
  </si>
  <si>
    <t>Доход Поручителя-Супруга / Поручителя-Участника   **</t>
  </si>
  <si>
    <t>Доля дохода Работника(ов) ВТБ в совокупном доходе  ***</t>
  </si>
  <si>
    <t>Метод расчета</t>
  </si>
  <si>
    <t>Процентная ставка</t>
  </si>
  <si>
    <t xml:space="preserve"> мес.</t>
  </si>
  <si>
    <t>ОСЗ после окончания  строительства</t>
  </si>
  <si>
    <t>Ежемес. платежи после регистр. прав собственности</t>
  </si>
  <si>
    <t>Тверская область (включая г. Тверь)</t>
  </si>
  <si>
    <t>Архангельская область (не включая г. Архангельск)</t>
  </si>
  <si>
    <t>г. Архангельск</t>
  </si>
  <si>
    <t>г. Астрахань</t>
  </si>
  <si>
    <t>г. Барнаул</t>
  </si>
  <si>
    <t>г. Белгород</t>
  </si>
  <si>
    <t>Владимирская область (не включая г. Владимир)</t>
  </si>
  <si>
    <t>г. Владимир</t>
  </si>
  <si>
    <t>Волгоградская область (не включая г. Волгоград)</t>
  </si>
  <si>
    <t>г. Волгоград</t>
  </si>
  <si>
    <t>г. Вологда</t>
  </si>
  <si>
    <t>Иркутская область (не включая г. Иркутск и г. Ангарск)</t>
  </si>
  <si>
    <t>г. Иркутск</t>
  </si>
  <si>
    <t>г. Ангарск</t>
  </si>
  <si>
    <t>г. Калининград</t>
  </si>
  <si>
    <t>Кемеровская область (не включая г. Кемерово)</t>
  </si>
  <si>
    <t>г. Кемерово</t>
  </si>
  <si>
    <t>Костромская область (не включая г. Кострома)</t>
  </si>
  <si>
    <t>г. Кострома</t>
  </si>
  <si>
    <t>Краснодарский край (не включая г. Краснодар и г. Сочи)</t>
  </si>
  <si>
    <t>г. Краснодар</t>
  </si>
  <si>
    <t>г. Сочи</t>
  </si>
  <si>
    <t>г. Курск</t>
  </si>
  <si>
    <t>Липецкая область (не включая г. Липецк)</t>
  </si>
  <si>
    <t>г. Липецк</t>
  </si>
  <si>
    <t>Омская область (не включая г. Омск)</t>
  </si>
  <si>
    <t>г. Омск</t>
  </si>
  <si>
    <t>Пермский край (не включая г. Пермь)</t>
  </si>
  <si>
    <t>г. Пермь</t>
  </si>
  <si>
    <t>Республика Коми (не включая г. Сыктывкар)</t>
  </si>
  <si>
    <t>г. Сыктывкар</t>
  </si>
  <si>
    <t>г. Йошкар-Ола</t>
  </si>
  <si>
    <t>Республика Саха (Якутия) (не включая г. Якутск)</t>
  </si>
  <si>
    <t>г. Якутск</t>
  </si>
  <si>
    <t>Самарская область (не включая г. Самара и г. Тольятти)</t>
  </si>
  <si>
    <t>г. Тольятти</t>
  </si>
  <si>
    <t>Смоленская область (не включая г. Смоленск)</t>
  </si>
  <si>
    <t>г. Смоленск</t>
  </si>
  <si>
    <t>Тульская область (не включая г. Тула и г. Новомосковск)</t>
  </si>
  <si>
    <t>г. Тула</t>
  </si>
  <si>
    <t>г. Новомосковск</t>
  </si>
  <si>
    <t>Томская область (не включая г. Томск)</t>
  </si>
  <si>
    <t>г. Томск</t>
  </si>
  <si>
    <t>Ульяновская область (не включая г. Ульяновск)</t>
  </si>
  <si>
    <t>г. Ульяновск</t>
  </si>
  <si>
    <t>Челябинская область (не включая г. Челябинск)</t>
  </si>
  <si>
    <t>г. Челябинск</t>
  </si>
  <si>
    <t>Ярославская область (не включая г. Ярославль)</t>
  </si>
  <si>
    <t>г. Ярославль</t>
  </si>
  <si>
    <t>Готовое</t>
  </si>
  <si>
    <t>Нецелевой</t>
  </si>
  <si>
    <t>Рефинансирование</t>
  </si>
  <si>
    <t>Стройка</t>
  </si>
  <si>
    <t>Сотрудники</t>
  </si>
  <si>
    <t>Астраханская область (не включая г. Астрахань)</t>
  </si>
  <si>
    <t>Алтайский край (не включая г. Барнаул)</t>
  </si>
  <si>
    <t>Белгородская область (не включая г. Белгород)</t>
  </si>
  <si>
    <t>Калининградская область (не включая г. Калининград)</t>
  </si>
  <si>
    <t>Курская область (не включая г. Курск)</t>
  </si>
  <si>
    <t>Республика Марий Эл (не включая г. Йошкар-Олу)</t>
  </si>
  <si>
    <t>Старая квартира</t>
  </si>
  <si>
    <t>продается</t>
  </si>
  <si>
    <t>Стоимость продаваемой квартиры</t>
  </si>
  <si>
    <t>Срок продажи старой квартиры</t>
  </si>
  <si>
    <t>не продается</t>
  </si>
  <si>
    <t>Стоимость покупаемой квартиры</t>
  </si>
  <si>
    <t>УЖУ</t>
  </si>
  <si>
    <t>Собств.</t>
  </si>
  <si>
    <t>Не продается</t>
  </si>
  <si>
    <t>Собств.+Покуп.</t>
  </si>
  <si>
    <t>Воронежская область (включая г. Воронеж)</t>
  </si>
  <si>
    <t>Саратовская область (включая г. Саратов)</t>
  </si>
  <si>
    <t>Чувашская республика (включая г. Чебоксары)</t>
  </si>
  <si>
    <t>Приморский край (включая г. Владивосток)</t>
  </si>
  <si>
    <t>Остальные регионы</t>
  </si>
  <si>
    <t>Распоряжение</t>
  </si>
  <si>
    <t>Базовые (в т.ч. коттеджи)</t>
  </si>
  <si>
    <t>до 10 км</t>
  </si>
  <si>
    <t>от 10 до 40 км</t>
  </si>
  <si>
    <t>более 40 км</t>
  </si>
  <si>
    <t>К/З готовое</t>
  </si>
  <si>
    <t>Расходы на человека</t>
  </si>
  <si>
    <t>К/З готовое сотр.</t>
  </si>
  <si>
    <t>Заемщик</t>
  </si>
  <si>
    <t>К/З стройка</t>
  </si>
  <si>
    <t>Иждевенцы</t>
  </si>
  <si>
    <t>К/З стройка сотр.</t>
  </si>
  <si>
    <t xml:space="preserve">Кол-во ижд.+заем. </t>
  </si>
  <si>
    <t>Рефинасирование</t>
  </si>
  <si>
    <t>Квартира</t>
  </si>
  <si>
    <t>Увеличение</t>
  </si>
  <si>
    <t>Тип 1</t>
  </si>
  <si>
    <t>Тип2</t>
  </si>
  <si>
    <t>Собственная</t>
  </si>
  <si>
    <t>Собст.+Покуп.</t>
  </si>
  <si>
    <t>Доход</t>
  </si>
  <si>
    <t>П/Д</t>
  </si>
  <si>
    <t>О1/Д</t>
  </si>
  <si>
    <t xml:space="preserve">Срок </t>
  </si>
  <si>
    <t>Ставка. Готовое</t>
  </si>
  <si>
    <t>Ставка. Нецелевой</t>
  </si>
  <si>
    <t>Ставка. Коттеджи</t>
  </si>
  <si>
    <t>USD</t>
  </si>
  <si>
    <t>RUR</t>
  </si>
  <si>
    <t>Инвестиц. Надбавка</t>
  </si>
  <si>
    <t>Корпоративные скидки</t>
  </si>
  <si>
    <t>Работники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</si>
</sst>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$&quot;;\-#,##0&quot;$&quot;"/>
    <numFmt numFmtId="165" formatCode="#,##0&quot;$&quot;;[Red]\-#,##0&quot;$&quot;"/>
    <numFmt numFmtId="166" formatCode="#,##0.00&quot;$&quot;;\-#,##0.00&quot;$&quot;"/>
    <numFmt numFmtId="167" formatCode="#,##0.00&quot;$&quot;;[Red]\-#,##0.00&quot;$&quot;"/>
    <numFmt numFmtId="168" formatCode="_-* #,##0&quot;$&quot;_-;\-* #,##0&quot;$&quot;_-;_-* &quot;-&quot;&quot;$&quot;_-;_-@_-"/>
    <numFmt numFmtId="169" formatCode="_-* #,##0_$_-;\-* #,##0_$_-;_-* &quot;-&quot;_$_-;_-@_-"/>
    <numFmt numFmtId="170" formatCode="_-* #,##0.00&quot;$&quot;_-;\-* #,##0.00&quot;$&quot;_-;_-* &quot;-&quot;??&quot;$&quot;_-;_-@_-"/>
    <numFmt numFmtId="171" formatCode="_-* #,##0.00_$_-;\-* #,##0.00_$_-;_-* &quot;-&quot;??_$_-;_-@_-"/>
    <numFmt numFmtId="172" formatCode="#,##0&quot;$&quot;"/>
    <numFmt numFmtId="173" formatCode="_-* #,##0&quot;$&quot;_-;\-* #,##0&quot;$&quot;_-;_-* &quot;-&quot;??&quot;$&quot;_-;_-@_-"/>
    <numFmt numFmtId="174" formatCode="#,##0.000&quot;$&quot;"/>
    <numFmt numFmtId="175" formatCode="#,##0.00&quot;$&quot;"/>
    <numFmt numFmtId="176" formatCode="#,##0&quot;р.&quot;"/>
    <numFmt numFmtId="177" formatCode="0.0%"/>
    <numFmt numFmtId="178" formatCode="0.000%"/>
    <numFmt numFmtId="179" formatCode="#,##0.0&quot;$&quot;"/>
    <numFmt numFmtId="180" formatCode="#,##0[$р.-419]"/>
    <numFmt numFmtId="181" formatCode="#,##0.00[$р.-419]"/>
    <numFmt numFmtId="182" formatCode="#,##0.00&quot;р.&quot;"/>
    <numFmt numFmtId="183" formatCode="0.000"/>
    <numFmt numFmtId="184" formatCode="#,##0.0&quot;р.&quot;"/>
    <numFmt numFmtId="185" formatCode="0.0000"/>
    <numFmt numFmtId="186" formatCode="0.0"/>
    <numFmt numFmtId="187" formatCode="0.00000"/>
    <numFmt numFmtId="188" formatCode="0.000000"/>
    <numFmt numFmtId="189" formatCode="0.0000000"/>
    <numFmt numFmtId="190" formatCode="_-* #,##0.00[$р.-419]_-;\-* #,##0.00[$р.-419]_-;_-* &quot;-&quot;??[$р.-419]_-;_-@_-"/>
    <numFmt numFmtId="191" formatCode="_-* #,##0.000[$р.-419]_-;\-* #,##0.000[$р.-419]_-;_-* &quot;-&quot;??[$р.-419]_-;_-@_-"/>
    <numFmt numFmtId="192" formatCode="_-* #,##0.0[$р.-419]_-;\-* #,##0.0[$р.-419]_-;_-* &quot;-&quot;??[$р.-419]_-;_-@_-"/>
    <numFmt numFmtId="193" formatCode="_-* #,##0[$р.-419]_-;\-* #,##0[$р.-419]_-;_-* &quot;-&quot;??[$р.-419]_-;_-@_-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_-* #,##0.000&quot;$&quot;_-;\-* #,##0.000&quot;$&quot;_-;_-* &quot;-&quot;??&quot;$&quot;_-;_-@_-"/>
    <numFmt numFmtId="198" formatCode="_-* #,##0.0000&quot;$&quot;_-;\-* #,##0.0000&quot;$&quot;_-;_-* &quot;-&quot;??&quot;$&quot;_-;_-@_-"/>
    <numFmt numFmtId="199" formatCode="_-* #,##0.0&quot;$&quot;_-;\-* #,##0.0&quot;$&quot;_-;_-* &quot;-&quot;??&quot;$&quot;_-;_-@_-"/>
    <numFmt numFmtId="200" formatCode="[$$-409]#,##0"/>
    <numFmt numFmtId="201" formatCode="_-* #,##0.0_$_-;\-* #,##0.0_$_-;_-* &quot;-&quot;?_$_-;_-@_-"/>
    <numFmt numFmtId="202" formatCode="#,##0.0[$р.-419]"/>
    <numFmt numFmtId="203" formatCode="#,##0.0000&quot;$&quot;"/>
    <numFmt numFmtId="204" formatCode="_-* #,##0[$р.-419]_-;\-* #,##0[$р.-419]_-;_-* &quot;-&quot;[$р.-419]_-;_-@_-"/>
  </numFmts>
  <fonts count="19">
    <font>
      <sz val="10"/>
      <name val="Arial Cyr"/>
      <family val="0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2"/>
    </font>
    <font>
      <sz val="12"/>
      <name val="Arial Cyr"/>
      <family val="0"/>
    </font>
    <font>
      <sz val="8"/>
      <name val="Arial Cyr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 Cyr"/>
      <family val="0"/>
    </font>
    <font>
      <b/>
      <sz val="8"/>
      <name val="Arial Cyr"/>
      <family val="0"/>
    </font>
    <font>
      <sz val="8"/>
      <color indexed="10"/>
      <name val="Arial Cyr"/>
      <family val="2"/>
    </font>
    <font>
      <b/>
      <sz val="12"/>
      <color indexed="10"/>
      <name val="Arial CYR"/>
      <family val="2"/>
    </font>
    <font>
      <sz val="8"/>
      <name val="Tahoma"/>
      <family val="0"/>
    </font>
    <font>
      <b/>
      <sz val="8"/>
      <name val="Tahoma"/>
      <family val="0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</fills>
  <borders count="18">
    <border>
      <left/>
      <right/>
      <top/>
      <bottom/>
      <diagonal/>
    </border>
    <border>
      <left style="thick">
        <color indexed="20"/>
      </left>
      <right style="thick">
        <color indexed="20"/>
      </right>
      <top style="thick">
        <color indexed="20"/>
      </top>
      <bottom style="thick">
        <color indexed="20"/>
      </bottom>
    </border>
    <border>
      <left style="thick">
        <color indexed="43"/>
      </left>
      <right style="thick">
        <color indexed="43"/>
      </right>
      <top style="thick">
        <color indexed="43"/>
      </top>
      <bottom style="thick">
        <color indexed="43"/>
      </bottom>
    </border>
    <border>
      <left style="thick">
        <color indexed="11"/>
      </left>
      <right style="thick">
        <color indexed="11"/>
      </right>
      <top style="thick">
        <color indexed="11"/>
      </top>
      <bottom style="thick">
        <color indexed="11"/>
      </bottom>
    </border>
    <border>
      <left style="thick">
        <color indexed="40"/>
      </left>
      <right style="thick">
        <color indexed="40"/>
      </right>
      <top style="thick">
        <color indexed="40"/>
      </top>
      <bottom style="thick">
        <color indexed="40"/>
      </bottom>
    </border>
    <border>
      <left style="thick">
        <color indexed="45"/>
      </left>
      <right style="thick">
        <color indexed="45"/>
      </right>
      <top style="thick">
        <color indexed="45"/>
      </top>
      <bottom style="thick">
        <color indexed="45"/>
      </bottom>
    </border>
    <border>
      <left style="thick">
        <color indexed="49"/>
      </left>
      <right style="thick">
        <color indexed="49"/>
      </right>
      <top style="thick">
        <color indexed="49"/>
      </top>
      <bottom style="thick">
        <color indexed="49"/>
      </bottom>
    </border>
    <border>
      <left>
        <color indexed="63"/>
      </left>
      <right style="thick">
        <color indexed="20"/>
      </right>
      <top>
        <color indexed="63"/>
      </top>
      <bottom>
        <color indexed="63"/>
      </bottom>
    </border>
    <border>
      <left style="thick">
        <color indexed="20"/>
      </left>
      <right style="thick">
        <color indexed="20"/>
      </right>
      <top>
        <color indexed="63"/>
      </top>
      <bottom style="thick">
        <color indexed="20"/>
      </bottom>
    </border>
    <border>
      <left style="thick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20"/>
      </right>
      <top style="thick">
        <color indexed="20"/>
      </top>
      <bottom style="thick">
        <color indexed="20"/>
      </bottom>
    </border>
    <border>
      <left style="thick">
        <color indexed="20"/>
      </left>
      <right>
        <color indexed="63"/>
      </right>
      <top style="thick">
        <color indexed="20"/>
      </top>
      <bottom style="thick">
        <color indexed="20"/>
      </bottom>
    </border>
    <border>
      <left>
        <color indexed="63"/>
      </left>
      <right>
        <color indexed="63"/>
      </right>
      <top style="thick">
        <color indexed="20"/>
      </top>
      <bottom style="thick">
        <color indexed="20"/>
      </bottom>
    </border>
    <border>
      <left style="thick">
        <color indexed="20"/>
      </left>
      <right>
        <color indexed="63"/>
      </right>
      <top>
        <color indexed="63"/>
      </top>
      <bottom style="thick">
        <color indexed="20"/>
      </bottom>
    </border>
    <border>
      <left>
        <color indexed="63"/>
      </left>
      <right style="thick">
        <color indexed="20"/>
      </right>
      <top>
        <color indexed="63"/>
      </top>
      <bottom style="thick">
        <color indexed="20"/>
      </bottom>
    </border>
    <border>
      <left style="medium">
        <color indexed="52"/>
      </left>
      <right>
        <color indexed="63"/>
      </right>
      <top style="medium">
        <color indexed="52"/>
      </top>
      <bottom style="medium">
        <color indexed="52"/>
      </bottom>
    </border>
    <border>
      <left>
        <color indexed="63"/>
      </left>
      <right>
        <color indexed="63"/>
      </right>
      <top style="medium">
        <color indexed="52"/>
      </top>
      <bottom style="medium">
        <color indexed="52"/>
      </bottom>
    </border>
    <border>
      <left>
        <color indexed="63"/>
      </left>
      <right style="medium">
        <color indexed="52"/>
      </right>
      <top style="medium">
        <color indexed="52"/>
      </top>
      <bottom style="medium">
        <color indexed="5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66">
    <xf numFmtId="0" fontId="0" fillId="0" borderId="0" xfId="0" applyAlignment="1">
      <alignment/>
    </xf>
    <xf numFmtId="0" fontId="0" fillId="0" borderId="0" xfId="0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 hidden="1"/>
    </xf>
    <xf numFmtId="185" fontId="2" fillId="0" borderId="0" xfId="20" applyNumberFormat="1" applyFont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/>
      <protection hidden="1"/>
    </xf>
    <xf numFmtId="172" fontId="0" fillId="0" borderId="0" xfId="0" applyNumberFormat="1" applyAlignment="1" applyProtection="1">
      <alignment/>
      <protection hidden="1"/>
    </xf>
    <xf numFmtId="172" fontId="1" fillId="0" borderId="0" xfId="0" applyNumberFormat="1" applyFont="1" applyAlignment="1" applyProtection="1">
      <alignment/>
      <protection hidden="1"/>
    </xf>
    <xf numFmtId="172" fontId="3" fillId="0" borderId="0" xfId="0" applyNumberFormat="1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2" fontId="0" fillId="0" borderId="0" xfId="0" applyNumberFormat="1" applyAlignment="1" applyProtection="1">
      <alignment/>
      <protection hidden="1"/>
    </xf>
    <xf numFmtId="9" fontId="3" fillId="0" borderId="0" xfId="0" applyNumberFormat="1" applyFont="1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180" fontId="0" fillId="0" borderId="0" xfId="0" applyNumberFormat="1" applyAlignment="1" applyProtection="1">
      <alignment/>
      <protection hidden="1"/>
    </xf>
    <xf numFmtId="180" fontId="3" fillId="0" borderId="0" xfId="0" applyNumberFormat="1" applyFont="1" applyAlignment="1" applyProtection="1">
      <alignment/>
      <protection hidden="1"/>
    </xf>
    <xf numFmtId="180" fontId="0" fillId="0" borderId="0" xfId="0" applyNumberFormat="1" applyFill="1" applyAlignment="1" applyProtection="1">
      <alignment/>
      <protection hidden="1"/>
    </xf>
    <xf numFmtId="175" fontId="0" fillId="0" borderId="0" xfId="0" applyNumberFormat="1" applyAlignment="1" applyProtection="1">
      <alignment/>
      <protection hidden="1"/>
    </xf>
    <xf numFmtId="10" fontId="0" fillId="0" borderId="0" xfId="0" applyNumberFormat="1" applyAlignment="1" applyProtection="1">
      <alignment/>
      <protection hidden="1"/>
    </xf>
    <xf numFmtId="170" fontId="0" fillId="0" borderId="0" xfId="16" applyAlignment="1" applyProtection="1">
      <alignment/>
      <protection hidden="1"/>
    </xf>
    <xf numFmtId="175" fontId="3" fillId="0" borderId="0" xfId="0" applyNumberFormat="1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172" fontId="3" fillId="0" borderId="0" xfId="0" applyNumberFormat="1" applyFont="1" applyFill="1" applyAlignment="1" applyProtection="1">
      <alignment/>
      <protection hidden="1"/>
    </xf>
    <xf numFmtId="0" fontId="5" fillId="0" borderId="0" xfId="0" applyFont="1" applyAlignment="1">
      <alignment/>
    </xf>
    <xf numFmtId="172" fontId="5" fillId="0" borderId="0" xfId="0" applyNumberFormat="1" applyFont="1" applyBorder="1" applyAlignment="1">
      <alignment horizontal="right" vertical="top" wrapText="1"/>
    </xf>
    <xf numFmtId="0" fontId="9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 horizontal="center" vertical="center" wrapText="1"/>
      <protection hidden="1"/>
    </xf>
    <xf numFmtId="172" fontId="5" fillId="0" borderId="0" xfId="0" applyNumberFormat="1" applyFont="1" applyAlignment="1" applyProtection="1">
      <alignment/>
      <protection hidden="1"/>
    </xf>
    <xf numFmtId="172" fontId="4" fillId="0" borderId="0" xfId="0" applyNumberFormat="1" applyFont="1" applyFill="1" applyAlignment="1" applyProtection="1">
      <alignment horizontal="center" vertical="center"/>
      <protection hidden="1"/>
    </xf>
    <xf numFmtId="9" fontId="0" fillId="0" borderId="0" xfId="19" applyAlignment="1" applyProtection="1">
      <alignment/>
      <protection hidden="1"/>
    </xf>
    <xf numFmtId="0" fontId="4" fillId="0" borderId="0" xfId="0" applyFont="1" applyAlignment="1" applyProtection="1">
      <alignment vertical="center"/>
      <protection hidden="1"/>
    </xf>
    <xf numFmtId="172" fontId="1" fillId="0" borderId="1" xfId="0" applyNumberFormat="1" applyFont="1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4" fillId="0" borderId="0" xfId="0" applyFont="1" applyFill="1" applyAlignment="1" applyProtection="1">
      <alignment vertical="center" wrapText="1"/>
      <protection hidden="1"/>
    </xf>
    <xf numFmtId="172" fontId="1" fillId="0" borderId="2" xfId="0" applyNumberFormat="1" applyFont="1" applyFill="1" applyBorder="1" applyAlignment="1" applyProtection="1">
      <alignment horizontal="center" vertical="center"/>
      <protection locked="0"/>
    </xf>
    <xf numFmtId="172" fontId="9" fillId="0" borderId="0" xfId="0" applyNumberFormat="1" applyFont="1" applyAlignment="1" applyProtection="1">
      <alignment/>
      <protection hidden="1"/>
    </xf>
    <xf numFmtId="172" fontId="1" fillId="2" borderId="0" xfId="0" applyNumberFormat="1" applyFont="1" applyFill="1" applyBorder="1" applyAlignment="1" applyProtection="1">
      <alignment horizontal="center" vertical="center"/>
      <protection hidden="1"/>
    </xf>
    <xf numFmtId="172" fontId="1" fillId="2" borderId="0" xfId="0" applyNumberFormat="1" applyFont="1" applyFill="1" applyAlignment="1" applyProtection="1">
      <alignment horizontal="center" vertical="center"/>
      <protection hidden="1"/>
    </xf>
    <xf numFmtId="172" fontId="1" fillId="3" borderId="0" xfId="0" applyNumberFormat="1" applyFont="1" applyFill="1" applyAlignment="1" applyProtection="1">
      <alignment horizontal="center" vertical="center"/>
      <protection hidden="1"/>
    </xf>
    <xf numFmtId="172" fontId="1" fillId="0" borderId="3" xfId="0" applyNumberFormat="1" applyFont="1" applyFill="1" applyBorder="1" applyAlignment="1" applyProtection="1">
      <alignment horizontal="center" vertical="center"/>
      <protection locked="0"/>
    </xf>
    <xf numFmtId="172" fontId="1" fillId="3" borderId="0" xfId="0" applyNumberFormat="1" applyFont="1" applyFill="1" applyBorder="1" applyAlignment="1" applyProtection="1">
      <alignment horizontal="center" vertical="center"/>
      <protection hidden="1"/>
    </xf>
    <xf numFmtId="172" fontId="1" fillId="4" borderId="0" xfId="0" applyNumberFormat="1" applyFont="1" applyFill="1" applyAlignment="1" applyProtection="1">
      <alignment horizontal="center" vertical="center"/>
      <protection hidden="1"/>
    </xf>
    <xf numFmtId="172" fontId="9" fillId="0" borderId="0" xfId="0" applyNumberFormat="1" applyFont="1" applyFill="1" applyAlignment="1" applyProtection="1">
      <alignment/>
      <protection hidden="1"/>
    </xf>
    <xf numFmtId="172" fontId="1" fillId="0" borderId="4" xfId="0" applyNumberFormat="1" applyFont="1" applyFill="1" applyBorder="1" applyAlignment="1" applyProtection="1">
      <alignment horizontal="center" vertical="center"/>
      <protection locked="0"/>
    </xf>
    <xf numFmtId="172" fontId="1" fillId="5" borderId="0" xfId="0" applyNumberFormat="1" applyFont="1" applyFill="1" applyAlignment="1" applyProtection="1">
      <alignment horizontal="center" vertical="center"/>
      <protection hidden="1"/>
    </xf>
    <xf numFmtId="172" fontId="3" fillId="0" borderId="0" xfId="0" applyNumberFormat="1" applyFont="1" applyFill="1" applyAlignment="1" applyProtection="1">
      <alignment wrapText="1"/>
      <protection hidden="1"/>
    </xf>
    <xf numFmtId="172" fontId="1" fillId="0" borderId="5" xfId="0" applyNumberFormat="1" applyFont="1" applyFill="1" applyBorder="1" applyAlignment="1" applyProtection="1">
      <alignment horizontal="center" vertical="center"/>
      <protection locked="0"/>
    </xf>
    <xf numFmtId="172" fontId="1" fillId="6" borderId="0" xfId="0" applyNumberFormat="1" applyFont="1" applyFill="1" applyAlignment="1" applyProtection="1">
      <alignment horizontal="center" vertical="center"/>
      <protection hidden="1"/>
    </xf>
    <xf numFmtId="172" fontId="1" fillId="0" borderId="6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/>
      <protection hidden="1"/>
    </xf>
    <xf numFmtId="176" fontId="1" fillId="0" borderId="2" xfId="0" applyNumberFormat="1" applyFont="1" applyFill="1" applyBorder="1" applyAlignment="1" applyProtection="1">
      <alignment horizontal="center" vertical="center"/>
      <protection locked="0"/>
    </xf>
    <xf numFmtId="176" fontId="1" fillId="2" borderId="0" xfId="0" applyNumberFormat="1" applyFont="1" applyFill="1" applyBorder="1" applyAlignment="1" applyProtection="1">
      <alignment horizontal="center" vertical="center"/>
      <protection hidden="1"/>
    </xf>
    <xf numFmtId="176" fontId="1" fillId="2" borderId="0" xfId="0" applyNumberFormat="1" applyFont="1" applyFill="1" applyAlignment="1" applyProtection="1">
      <alignment horizontal="center" vertical="center"/>
      <protection hidden="1"/>
    </xf>
    <xf numFmtId="176" fontId="1" fillId="3" borderId="0" xfId="0" applyNumberFormat="1" applyFont="1" applyFill="1" applyAlignment="1" applyProtection="1">
      <alignment horizontal="center" vertical="center"/>
      <protection hidden="1"/>
    </xf>
    <xf numFmtId="176" fontId="1" fillId="0" borderId="3" xfId="0" applyNumberFormat="1" applyFont="1" applyFill="1" applyBorder="1" applyAlignment="1" applyProtection="1">
      <alignment horizontal="center" vertical="center"/>
      <protection locked="0"/>
    </xf>
    <xf numFmtId="176" fontId="1" fillId="3" borderId="0" xfId="0" applyNumberFormat="1" applyFont="1" applyFill="1" applyBorder="1" applyAlignment="1" applyProtection="1">
      <alignment horizontal="center" vertical="center"/>
      <protection hidden="1"/>
    </xf>
    <xf numFmtId="176" fontId="1" fillId="4" borderId="0" xfId="0" applyNumberFormat="1" applyFont="1" applyFill="1" applyAlignment="1" applyProtection="1">
      <alignment horizontal="center" vertical="center"/>
      <protection hidden="1"/>
    </xf>
    <xf numFmtId="176" fontId="1" fillId="0" borderId="4" xfId="0" applyNumberFormat="1" applyFont="1" applyFill="1" applyBorder="1" applyAlignment="1" applyProtection="1">
      <alignment horizontal="center" vertical="center"/>
      <protection locked="0"/>
    </xf>
    <xf numFmtId="176" fontId="1" fillId="5" borderId="0" xfId="0" applyNumberFormat="1" applyFont="1" applyFill="1" applyAlignment="1" applyProtection="1">
      <alignment horizontal="center" vertical="center"/>
      <protection hidden="1"/>
    </xf>
    <xf numFmtId="176" fontId="1" fillId="0" borderId="5" xfId="0" applyNumberFormat="1" applyFont="1" applyFill="1" applyBorder="1" applyAlignment="1" applyProtection="1">
      <alignment horizontal="center" vertical="center"/>
      <protection locked="0"/>
    </xf>
    <xf numFmtId="176" fontId="1" fillId="6" borderId="0" xfId="0" applyNumberFormat="1" applyFont="1" applyFill="1" applyAlignment="1" applyProtection="1">
      <alignment horizontal="center" vertical="center"/>
      <protection hidden="1"/>
    </xf>
    <xf numFmtId="176" fontId="1" fillId="0" borderId="6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/>
      <protection hidden="1"/>
    </xf>
    <xf numFmtId="185" fontId="4" fillId="0" borderId="0" xfId="20" applyNumberFormat="1" applyFont="1" applyBorder="1" applyAlignment="1" applyProtection="1">
      <alignment horizontal="center" vertical="center"/>
      <protection hidden="1"/>
    </xf>
    <xf numFmtId="172" fontId="1" fillId="0" borderId="0" xfId="0" applyNumberFormat="1" applyFont="1" applyFill="1" applyAlignment="1" applyProtection="1">
      <alignment horizontal="center" vertical="center"/>
      <protection hidden="1"/>
    </xf>
    <xf numFmtId="172" fontId="1" fillId="0" borderId="0" xfId="0" applyNumberFormat="1" applyFont="1" applyBorder="1" applyAlignment="1" applyProtection="1">
      <alignment horizontal="center" vertical="center"/>
      <protection hidden="1"/>
    </xf>
    <xf numFmtId="172" fontId="1" fillId="7" borderId="0" xfId="0" applyNumberFormat="1" applyFont="1" applyFill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left" vertical="center" wrapText="1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10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 vertical="center"/>
      <protection hidden="1"/>
    </xf>
    <xf numFmtId="0" fontId="10" fillId="0" borderId="0" xfId="0" applyFont="1" applyAlignment="1" applyProtection="1">
      <alignment/>
      <protection hidden="1"/>
    </xf>
    <xf numFmtId="1" fontId="10" fillId="0" borderId="0" xfId="0" applyNumberFormat="1" applyFont="1" applyAlignment="1" applyProtection="1">
      <alignment/>
      <protection hidden="1"/>
    </xf>
    <xf numFmtId="2" fontId="10" fillId="0" borderId="0" xfId="0" applyNumberFormat="1" applyFont="1" applyAlignment="1" applyProtection="1">
      <alignment/>
      <protection hidden="1"/>
    </xf>
    <xf numFmtId="0" fontId="11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/>
      <protection hidden="1"/>
    </xf>
    <xf numFmtId="9" fontId="11" fillId="0" borderId="0" xfId="0" applyNumberFormat="1" applyFont="1" applyAlignment="1" applyProtection="1">
      <alignment/>
      <protection hidden="1"/>
    </xf>
    <xf numFmtId="0" fontId="10" fillId="0" borderId="0" xfId="0" applyFont="1" applyFill="1" applyAlignment="1" applyProtection="1">
      <alignment/>
      <protection hidden="1"/>
    </xf>
    <xf numFmtId="0" fontId="12" fillId="0" borderId="0" xfId="0" applyFont="1" applyAlignment="1" applyProtection="1">
      <alignment vertical="center"/>
      <protection hidden="1"/>
    </xf>
    <xf numFmtId="0" fontId="11" fillId="0" borderId="0" xfId="0" applyFont="1" applyAlignment="1">
      <alignment/>
    </xf>
    <xf numFmtId="172" fontId="11" fillId="0" borderId="0" xfId="0" applyNumberFormat="1" applyFont="1" applyBorder="1" applyAlignment="1">
      <alignment horizontal="right" vertical="top" wrapText="1"/>
    </xf>
    <xf numFmtId="9" fontId="10" fillId="0" borderId="0" xfId="19" applyFont="1" applyAlignment="1" applyProtection="1">
      <alignment/>
      <protection hidden="1"/>
    </xf>
    <xf numFmtId="180" fontId="1" fillId="7" borderId="0" xfId="0" applyNumberFormat="1" applyFont="1" applyFill="1" applyAlignment="1" applyProtection="1">
      <alignment horizontal="center" vertical="center"/>
      <protection hidden="1"/>
    </xf>
    <xf numFmtId="0" fontId="5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5" fillId="0" borderId="0" xfId="0" applyFont="1" applyBorder="1" applyAlignment="1" applyProtection="1">
      <alignment/>
      <protection hidden="1"/>
    </xf>
    <xf numFmtId="172" fontId="5" fillId="0" borderId="0" xfId="0" applyNumberFormat="1" applyFont="1" applyFill="1" applyAlignment="1" applyProtection="1">
      <alignment/>
      <protection hidden="1"/>
    </xf>
    <xf numFmtId="0" fontId="5" fillId="0" borderId="0" xfId="0" applyFont="1" applyFill="1" applyAlignment="1" applyProtection="1">
      <alignment/>
      <protection hidden="1"/>
    </xf>
    <xf numFmtId="172" fontId="4" fillId="0" borderId="0" xfId="0" applyNumberFormat="1" applyFont="1" applyAlignment="1" applyProtection="1">
      <alignment/>
      <protection hidden="1"/>
    </xf>
    <xf numFmtId="9" fontId="5" fillId="0" borderId="0" xfId="0" applyNumberFormat="1" applyFont="1" applyAlignment="1" applyProtection="1">
      <alignment/>
      <protection hidden="1"/>
    </xf>
    <xf numFmtId="172" fontId="5" fillId="0" borderId="0" xfId="0" applyNumberFormat="1" applyFont="1" applyFill="1" applyAlignment="1" applyProtection="1">
      <alignment wrapText="1"/>
      <protection hidden="1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hidden="1"/>
    </xf>
    <xf numFmtId="0" fontId="0" fillId="0" borderId="0" xfId="0" applyFont="1" applyAlignment="1" applyProtection="1">
      <alignment/>
      <protection hidden="1"/>
    </xf>
    <xf numFmtId="172" fontId="0" fillId="0" borderId="0" xfId="0" applyNumberFormat="1" applyFont="1" applyAlignment="1" applyProtection="1">
      <alignment/>
      <protection hidden="1"/>
    </xf>
    <xf numFmtId="172" fontId="0" fillId="0" borderId="0" xfId="0" applyNumberFormat="1" applyFont="1" applyFill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4" fillId="0" borderId="0" xfId="0" applyFont="1" applyBorder="1" applyAlignment="1" applyProtection="1">
      <alignment horizontal="center" vertical="center"/>
      <protection locked="0"/>
    </xf>
    <xf numFmtId="185" fontId="1" fillId="0" borderId="0" xfId="20" applyNumberFormat="1" applyFont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 wrapText="1"/>
      <protection hidden="1"/>
    </xf>
    <xf numFmtId="0" fontId="0" fillId="0" borderId="0" xfId="0" applyFont="1" applyAlignment="1" applyProtection="1">
      <alignment/>
      <protection hidden="1"/>
    </xf>
    <xf numFmtId="199" fontId="0" fillId="0" borderId="0" xfId="16" applyNumberFormat="1" applyFont="1" applyAlignment="1" applyProtection="1">
      <alignment/>
      <protection hidden="1"/>
    </xf>
    <xf numFmtId="10" fontId="0" fillId="0" borderId="0" xfId="19" applyNumberFormat="1" applyFont="1" applyAlignment="1" applyProtection="1">
      <alignment horizontal="center"/>
      <protection hidden="1"/>
    </xf>
    <xf numFmtId="10" fontId="13" fillId="0" borderId="0" xfId="19" applyNumberFormat="1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center"/>
      <protection hidden="1"/>
    </xf>
    <xf numFmtId="0" fontId="13" fillId="0" borderId="0" xfId="0" applyFont="1" applyAlignment="1" applyProtection="1">
      <alignment vertical="center"/>
      <protection hidden="1"/>
    </xf>
    <xf numFmtId="172" fontId="0" fillId="0" borderId="0" xfId="0" applyNumberFormat="1" applyFont="1" applyAlignment="1" applyProtection="1">
      <alignment/>
      <protection hidden="1"/>
    </xf>
    <xf numFmtId="200" fontId="8" fillId="0" borderId="1" xfId="0" applyNumberFormat="1" applyFont="1" applyBorder="1" applyAlignment="1" applyProtection="1">
      <alignment horizontal="center" vertical="center"/>
      <protection hidden="1"/>
    </xf>
    <xf numFmtId="10" fontId="8" fillId="0" borderId="1" xfId="19" applyNumberFormat="1" applyFont="1" applyBorder="1" applyAlignment="1" applyProtection="1">
      <alignment horizontal="center" vertical="center"/>
      <protection hidden="1"/>
    </xf>
    <xf numFmtId="0" fontId="8" fillId="0" borderId="1" xfId="0" applyFont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 wrapText="1"/>
      <protection hidden="1"/>
    </xf>
    <xf numFmtId="10" fontId="8" fillId="0" borderId="8" xfId="19" applyNumberFormat="1" applyFont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 horizontal="center"/>
      <protection hidden="1"/>
    </xf>
    <xf numFmtId="0" fontId="12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vertical="center"/>
      <protection hidden="1"/>
    </xf>
    <xf numFmtId="172" fontId="10" fillId="0" borderId="0" xfId="0" applyNumberFormat="1" applyFont="1" applyAlignment="1" applyProtection="1">
      <alignment/>
      <protection hidden="1"/>
    </xf>
    <xf numFmtId="172" fontId="11" fillId="0" borderId="0" xfId="0" applyNumberFormat="1" applyFont="1" applyAlignment="1" applyProtection="1">
      <alignment/>
      <protection hidden="1"/>
    </xf>
    <xf numFmtId="172" fontId="12" fillId="0" borderId="0" xfId="0" applyNumberFormat="1" applyFont="1" applyFill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horizontal="center"/>
      <protection hidden="1"/>
    </xf>
    <xf numFmtId="185" fontId="13" fillId="0" borderId="0" xfId="0" applyNumberFormat="1" applyFont="1" applyAlignment="1" applyProtection="1">
      <alignment horizontal="center"/>
      <protection hidden="1"/>
    </xf>
    <xf numFmtId="0" fontId="13" fillId="0" borderId="0" xfId="0" applyFont="1" applyAlignment="1" applyProtection="1">
      <alignment/>
      <protection hidden="1"/>
    </xf>
    <xf numFmtId="199" fontId="0" fillId="0" borderId="0" xfId="16" applyNumberFormat="1" applyFont="1" applyAlignment="1" applyProtection="1">
      <alignment/>
      <protection hidden="1"/>
    </xf>
    <xf numFmtId="10" fontId="0" fillId="0" borderId="0" xfId="19" applyNumberFormat="1" applyFont="1" applyAlignment="1" applyProtection="1">
      <alignment horizontal="center"/>
      <protection hidden="1"/>
    </xf>
    <xf numFmtId="185" fontId="0" fillId="0" borderId="0" xfId="0" applyNumberFormat="1" applyFont="1" applyAlignment="1" applyProtection="1">
      <alignment horizontal="center"/>
      <protection hidden="1"/>
    </xf>
    <xf numFmtId="185" fontId="8" fillId="0" borderId="1" xfId="0" applyNumberFormat="1" applyFont="1" applyBorder="1" applyAlignment="1" applyProtection="1">
      <alignment horizontal="center" vertical="center"/>
      <protection locked="0"/>
    </xf>
    <xf numFmtId="180" fontId="1" fillId="0" borderId="2" xfId="0" applyNumberFormat="1" applyFont="1" applyFill="1" applyBorder="1" applyAlignment="1" applyProtection="1">
      <alignment horizontal="center" vertical="center"/>
      <protection locked="0"/>
    </xf>
    <xf numFmtId="180" fontId="1" fillId="2" borderId="0" xfId="0" applyNumberFormat="1" applyFont="1" applyFill="1" applyBorder="1" applyAlignment="1" applyProtection="1">
      <alignment horizontal="center" vertical="center"/>
      <protection hidden="1"/>
    </xf>
    <xf numFmtId="180" fontId="1" fillId="3" borderId="0" xfId="0" applyNumberFormat="1" applyFont="1" applyFill="1" applyAlignment="1" applyProtection="1">
      <alignment horizontal="center" vertical="center"/>
      <protection hidden="1"/>
    </xf>
    <xf numFmtId="180" fontId="1" fillId="0" borderId="3" xfId="0" applyNumberFormat="1" applyFont="1" applyFill="1" applyBorder="1" applyAlignment="1" applyProtection="1">
      <alignment horizontal="center" vertical="center"/>
      <protection locked="0"/>
    </xf>
    <xf numFmtId="180" fontId="1" fillId="4" borderId="0" xfId="0" applyNumberFormat="1" applyFont="1" applyFill="1" applyAlignment="1" applyProtection="1">
      <alignment horizontal="center" vertical="center"/>
      <protection hidden="1"/>
    </xf>
    <xf numFmtId="180" fontId="1" fillId="0" borderId="4" xfId="0" applyNumberFormat="1" applyFont="1" applyFill="1" applyBorder="1" applyAlignment="1" applyProtection="1">
      <alignment horizontal="center" vertical="center"/>
      <protection locked="0"/>
    </xf>
    <xf numFmtId="180" fontId="1" fillId="0" borderId="5" xfId="0" applyNumberFormat="1" applyFont="1" applyFill="1" applyBorder="1" applyAlignment="1" applyProtection="1">
      <alignment horizontal="center" vertical="center"/>
      <protection locked="0"/>
    </xf>
    <xf numFmtId="180" fontId="1" fillId="6" borderId="0" xfId="0" applyNumberFormat="1" applyFont="1" applyFill="1" applyAlignment="1" applyProtection="1">
      <alignment horizontal="center" vertical="center"/>
      <protection hidden="1"/>
    </xf>
    <xf numFmtId="0" fontId="15" fillId="0" borderId="0" xfId="0" applyFont="1" applyBorder="1" applyAlignment="1" applyProtection="1">
      <alignment horizontal="center" wrapText="1"/>
      <protection hidden="1"/>
    </xf>
    <xf numFmtId="0" fontId="15" fillId="0" borderId="0" xfId="0" applyFont="1" applyBorder="1" applyAlignment="1" applyProtection="1">
      <alignment horizontal="center"/>
      <protection hidden="1"/>
    </xf>
    <xf numFmtId="0" fontId="12" fillId="0" borderId="0" xfId="0" applyFont="1" applyAlignment="1" applyProtection="1">
      <alignment horizontal="left" vertical="center"/>
      <protection hidden="1"/>
    </xf>
    <xf numFmtId="10" fontId="12" fillId="0" borderId="0" xfId="0" applyNumberFormat="1" applyFont="1" applyBorder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/>
      <protection hidden="1"/>
    </xf>
    <xf numFmtId="185" fontId="12" fillId="0" borderId="0" xfId="20" applyNumberFormat="1" applyFont="1" applyBorder="1" applyAlignment="1" applyProtection="1">
      <alignment horizontal="center" vertical="center"/>
      <protection hidden="1"/>
    </xf>
    <xf numFmtId="0" fontId="12" fillId="0" borderId="0" xfId="0" applyFont="1" applyAlignment="1" applyProtection="1">
      <alignment/>
      <protection hidden="1"/>
    </xf>
    <xf numFmtId="172" fontId="10" fillId="0" borderId="0" xfId="0" applyNumberFormat="1" applyFont="1" applyFill="1" applyAlignment="1" applyProtection="1">
      <alignment/>
      <protection hidden="1"/>
    </xf>
    <xf numFmtId="172" fontId="12" fillId="0" borderId="0" xfId="0" applyNumberFormat="1" applyFont="1" applyAlignment="1" applyProtection="1">
      <alignment/>
      <protection hidden="1"/>
    </xf>
    <xf numFmtId="172" fontId="12" fillId="0" borderId="0" xfId="0" applyNumberFormat="1" applyFont="1" applyFill="1" applyBorder="1" applyAlignment="1" applyProtection="1">
      <alignment horizontal="center" vertical="center"/>
      <protection hidden="1"/>
    </xf>
    <xf numFmtId="172" fontId="11" fillId="0" borderId="0" xfId="0" applyNumberFormat="1" applyFont="1" applyFill="1" applyAlignment="1" applyProtection="1">
      <alignment/>
      <protection hidden="1"/>
    </xf>
    <xf numFmtId="0" fontId="12" fillId="0" borderId="0" xfId="0" applyFont="1" applyFill="1" applyAlignment="1" applyProtection="1">
      <alignment vertical="center"/>
      <protection hidden="1"/>
    </xf>
    <xf numFmtId="172" fontId="11" fillId="0" borderId="0" xfId="0" applyNumberFormat="1" applyFont="1" applyFill="1" applyAlignment="1" applyProtection="1">
      <alignment wrapText="1"/>
      <protection hidden="1"/>
    </xf>
    <xf numFmtId="173" fontId="10" fillId="0" borderId="0" xfId="16" applyNumberFormat="1" applyFont="1" applyAlignment="1" applyProtection="1">
      <alignment/>
      <protection hidden="1"/>
    </xf>
    <xf numFmtId="0" fontId="12" fillId="0" borderId="0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hidden="1"/>
    </xf>
    <xf numFmtId="172" fontId="1" fillId="5" borderId="5" xfId="0" applyNumberFormat="1" applyFont="1" applyFill="1" applyBorder="1" applyAlignment="1" applyProtection="1">
      <alignment horizontal="center" vertical="center"/>
      <protection hidden="1"/>
    </xf>
    <xf numFmtId="10" fontId="1" fillId="8" borderId="5" xfId="19" applyNumberFormat="1" applyFont="1" applyFill="1" applyBorder="1" applyAlignment="1" applyProtection="1">
      <alignment horizontal="center" vertical="center"/>
      <protection hidden="1"/>
    </xf>
    <xf numFmtId="180" fontId="1" fillId="5" borderId="5" xfId="0" applyNumberFormat="1" applyFont="1" applyFill="1" applyBorder="1" applyAlignment="1" applyProtection="1">
      <alignment horizontal="center" vertical="center"/>
      <protection hidden="1"/>
    </xf>
    <xf numFmtId="180" fontId="1" fillId="0" borderId="6" xfId="0" applyNumberFormat="1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left" vertical="center" wrapText="1"/>
      <protection hidden="1"/>
    </xf>
    <xf numFmtId="0" fontId="12" fillId="0" borderId="0" xfId="0" applyFont="1" applyBorder="1" applyAlignment="1" applyProtection="1">
      <alignment horizontal="left" vertical="center"/>
      <protection hidden="1"/>
    </xf>
    <xf numFmtId="172" fontId="12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9" xfId="0" applyFont="1" applyBorder="1" applyAlignment="1" applyProtection="1">
      <alignment horizontal="left" vertical="center"/>
      <protection hidden="1"/>
    </xf>
    <xf numFmtId="180" fontId="1" fillId="2" borderId="0" xfId="0" applyNumberFormat="1" applyFont="1" applyFill="1" applyAlignment="1" applyProtection="1">
      <alignment horizontal="center" vertical="center"/>
      <protection hidden="1"/>
    </xf>
    <xf numFmtId="180" fontId="1" fillId="3" borderId="0" xfId="0" applyNumberFormat="1" applyFont="1" applyFill="1" applyBorder="1" applyAlignment="1" applyProtection="1">
      <alignment horizontal="center" vertical="center"/>
      <protection hidden="1"/>
    </xf>
    <xf numFmtId="172" fontId="10" fillId="0" borderId="0" xfId="0" applyNumberFormat="1" applyFont="1" applyAlignment="1" applyProtection="1">
      <alignment/>
      <protection hidden="1"/>
    </xf>
    <xf numFmtId="9" fontId="12" fillId="0" borderId="0" xfId="19" applyFont="1" applyFill="1" applyAlignment="1" applyProtection="1">
      <alignment horizontal="center" vertical="center"/>
      <protection hidden="1"/>
    </xf>
    <xf numFmtId="9" fontId="11" fillId="0" borderId="0" xfId="19" applyNumberFormat="1" applyFont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9" fontId="11" fillId="0" borderId="0" xfId="19" applyFont="1" applyBorder="1" applyAlignment="1">
      <alignment horizontal="right" vertical="top" wrapText="1"/>
    </xf>
    <xf numFmtId="0" fontId="0" fillId="0" borderId="0" xfId="0" applyFont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 wrapText="1"/>
      <protection hidden="1"/>
    </xf>
    <xf numFmtId="175" fontId="10" fillId="0" borderId="0" xfId="0" applyNumberFormat="1" applyFont="1" applyAlignment="1" applyProtection="1">
      <alignment/>
      <protection hidden="1"/>
    </xf>
    <xf numFmtId="172" fontId="1" fillId="0" borderId="0" xfId="0" applyNumberFormat="1" applyFont="1" applyFill="1" applyBorder="1" applyAlignment="1" applyProtection="1">
      <alignment horizontal="center" vertical="center"/>
      <protection locked="0"/>
    </xf>
    <xf numFmtId="9" fontId="10" fillId="0" borderId="0" xfId="0" applyNumberFormat="1" applyFont="1" applyAlignment="1" applyProtection="1">
      <alignment horizontal="right"/>
      <protection hidden="1"/>
    </xf>
    <xf numFmtId="180" fontId="1" fillId="5" borderId="0" xfId="0" applyNumberFormat="1" applyFont="1" applyFill="1" applyAlignment="1" applyProtection="1">
      <alignment horizontal="center" vertical="center"/>
      <protection hidden="1"/>
    </xf>
    <xf numFmtId="9" fontId="10" fillId="0" borderId="0" xfId="19" applyFont="1" applyAlignment="1" applyProtection="1">
      <alignment horizontal="center"/>
      <protection hidden="1"/>
    </xf>
    <xf numFmtId="204" fontId="10" fillId="0" borderId="0" xfId="16" applyNumberFormat="1" applyFont="1" applyAlignment="1" applyProtection="1">
      <alignment/>
      <protection hidden="1"/>
    </xf>
    <xf numFmtId="10" fontId="10" fillId="0" borderId="0" xfId="19" applyNumberFormat="1" applyFont="1" applyAlignment="1" applyProtection="1">
      <alignment horizontal="center"/>
      <protection hidden="1"/>
    </xf>
    <xf numFmtId="9" fontId="10" fillId="0" borderId="0" xfId="0" applyNumberFormat="1" applyFont="1" applyAlignment="1" applyProtection="1">
      <alignment horizontal="center"/>
      <protection hidden="1"/>
    </xf>
    <xf numFmtId="173" fontId="10" fillId="0" borderId="0" xfId="16" applyNumberFormat="1" applyFont="1" applyAlignment="1" applyProtection="1">
      <alignment horizontal="center"/>
      <protection hidden="1"/>
    </xf>
    <xf numFmtId="9" fontId="10" fillId="0" borderId="0" xfId="0" applyNumberFormat="1" applyFont="1" applyAlignment="1" applyProtection="1">
      <alignment horizontal="center" vertical="center"/>
      <protection hidden="1"/>
    </xf>
    <xf numFmtId="9" fontId="10" fillId="0" borderId="0" xfId="0" applyNumberFormat="1" applyFont="1" applyAlignment="1" applyProtection="1">
      <alignment/>
      <protection hidden="1"/>
    </xf>
    <xf numFmtId="204" fontId="10" fillId="0" borderId="0" xfId="16" applyNumberFormat="1" applyFont="1" applyAlignment="1" applyProtection="1">
      <alignment horizontal="center"/>
      <protection hidden="1"/>
    </xf>
    <xf numFmtId="172" fontId="11" fillId="0" borderId="0" xfId="0" applyNumberFormat="1" applyFont="1" applyBorder="1" applyAlignment="1">
      <alignment horizontal="left" vertical="top" wrapText="1"/>
    </xf>
    <xf numFmtId="172" fontId="11" fillId="0" borderId="0" xfId="0" applyNumberFormat="1" applyFont="1" applyBorder="1" applyAlignment="1">
      <alignment horizontal="left" vertical="top"/>
    </xf>
    <xf numFmtId="10" fontId="1" fillId="0" borderId="10" xfId="0" applyNumberFormat="1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7" xfId="0" applyFont="1" applyBorder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0" fillId="0" borderId="7" xfId="0" applyFont="1" applyBorder="1" applyAlignment="1" applyProtection="1">
      <alignment/>
      <protection hidden="1"/>
    </xf>
    <xf numFmtId="9" fontId="10" fillId="0" borderId="0" xfId="0" applyNumberFormat="1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hidden="1"/>
    </xf>
    <xf numFmtId="0" fontId="0" fillId="0" borderId="0" xfId="0" applyFont="1" applyAlignment="1" applyProtection="1">
      <alignment horizontal="left" vertical="center"/>
      <protection hidden="1"/>
    </xf>
    <xf numFmtId="10" fontId="1" fillId="0" borderId="11" xfId="0" applyNumberFormat="1" applyFont="1" applyBorder="1" applyAlignment="1" applyProtection="1">
      <alignment horizontal="center" vertical="center"/>
      <protection hidden="1"/>
    </xf>
    <xf numFmtId="9" fontId="10" fillId="0" borderId="0" xfId="0" applyNumberFormat="1" applyFont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center"/>
      <protection hidden="1"/>
    </xf>
    <xf numFmtId="9" fontId="10" fillId="0" borderId="0" xfId="19" applyFont="1" applyAlignment="1" applyProtection="1">
      <alignment horizont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0" fillId="0" borderId="7" xfId="0" applyFont="1" applyBorder="1" applyAlignment="1" applyProtection="1">
      <alignment vertical="center"/>
      <protection hidden="1"/>
    </xf>
    <xf numFmtId="185" fontId="1" fillId="0" borderId="11" xfId="20" applyNumberFormat="1" applyFont="1" applyBorder="1" applyAlignment="1" applyProtection="1">
      <alignment horizontal="center" vertical="center"/>
      <protection locked="0"/>
    </xf>
    <xf numFmtId="185" fontId="1" fillId="0" borderId="10" xfId="20" applyNumberFormat="1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wrapText="1"/>
      <protection hidden="1"/>
    </xf>
    <xf numFmtId="0" fontId="0" fillId="0" borderId="0" xfId="0" applyFont="1" applyAlignment="1" applyProtection="1">
      <alignment wrapText="1"/>
      <protection hidden="1"/>
    </xf>
    <xf numFmtId="0" fontId="0" fillId="0" borderId="7" xfId="0" applyFont="1" applyBorder="1" applyAlignment="1" applyProtection="1">
      <alignment wrapText="1"/>
      <protection hidden="1"/>
    </xf>
    <xf numFmtId="0" fontId="4" fillId="0" borderId="7" xfId="0" applyFont="1" applyBorder="1" applyAlignment="1" applyProtection="1">
      <alignment horizontal="center" vertical="center" wrapText="1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/>
      <protection hidden="1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 vertical="center" wrapText="1"/>
      <protection hidden="1"/>
    </xf>
    <xf numFmtId="0" fontId="13" fillId="0" borderId="7" xfId="0" applyFont="1" applyBorder="1" applyAlignment="1" applyProtection="1">
      <alignment horizontal="center" vertical="center" wrapText="1"/>
      <protection hidden="1"/>
    </xf>
    <xf numFmtId="0" fontId="13" fillId="0" borderId="0" xfId="0" applyFont="1" applyBorder="1" applyAlignment="1" applyProtection="1">
      <alignment horizontal="center" vertical="center"/>
      <protection hidden="1"/>
    </xf>
    <xf numFmtId="0" fontId="13" fillId="0" borderId="7" xfId="0" applyFont="1" applyBorder="1" applyAlignment="1" applyProtection="1">
      <alignment horizontal="center" vertical="center"/>
      <protection hidden="1"/>
    </xf>
    <xf numFmtId="0" fontId="13" fillId="0" borderId="0" xfId="0" applyFont="1" applyBorder="1" applyAlignment="1" applyProtection="1">
      <alignment horizontal="center" vertical="center" wrapText="1"/>
      <protection hidden="1"/>
    </xf>
    <xf numFmtId="0" fontId="13" fillId="0" borderId="7" xfId="0" applyFont="1" applyBorder="1" applyAlignment="1" applyProtection="1">
      <alignment horizontal="center" vertical="center" wrapText="1"/>
      <protection hidden="1"/>
    </xf>
    <xf numFmtId="0" fontId="8" fillId="0" borderId="11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/>
      <protection hidden="1"/>
    </xf>
    <xf numFmtId="0" fontId="13" fillId="0" borderId="9" xfId="0" applyFont="1" applyBorder="1" applyAlignment="1" applyProtection="1">
      <alignment horizontal="center" vertical="center" wrapText="1"/>
      <protection hidden="1"/>
    </xf>
    <xf numFmtId="0" fontId="13" fillId="0" borderId="0" xfId="0" applyFont="1" applyAlignment="1" applyProtection="1">
      <alignment horizontal="center" vertical="center" wrapText="1"/>
      <protection hidden="1"/>
    </xf>
    <xf numFmtId="172" fontId="1" fillId="0" borderId="11" xfId="20" applyNumberFormat="1" applyFont="1" applyBorder="1" applyAlignment="1" applyProtection="1">
      <alignment horizontal="center" vertical="center"/>
      <protection locked="0"/>
    </xf>
    <xf numFmtId="172" fontId="1" fillId="0" borderId="10" xfId="20" applyNumberFormat="1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right" vertical="center" wrapText="1"/>
      <protection hidden="1"/>
    </xf>
    <xf numFmtId="3" fontId="1" fillId="0" borderId="11" xfId="20" applyNumberFormat="1" applyFont="1" applyBorder="1" applyAlignment="1" applyProtection="1">
      <alignment horizontal="center" vertical="center"/>
      <protection locked="0"/>
    </xf>
    <xf numFmtId="3" fontId="1" fillId="0" borderId="10" xfId="2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7" xfId="0" applyFont="1" applyBorder="1" applyAlignment="1" applyProtection="1">
      <alignment/>
      <protection hidden="1"/>
    </xf>
    <xf numFmtId="0" fontId="4" fillId="0" borderId="0" xfId="0" applyFont="1" applyAlignment="1" applyProtection="1">
      <alignment horizontal="right" vertical="center"/>
      <protection hidden="1"/>
    </xf>
    <xf numFmtId="180" fontId="1" fillId="0" borderId="11" xfId="20" applyNumberFormat="1" applyFont="1" applyBorder="1" applyAlignment="1" applyProtection="1">
      <alignment horizontal="center" vertical="center"/>
      <protection locked="0"/>
    </xf>
    <xf numFmtId="180" fontId="1" fillId="0" borderId="10" xfId="20" applyNumberFormat="1" applyFont="1" applyBorder="1" applyAlignment="1" applyProtection="1">
      <alignment horizontal="center" vertical="center"/>
      <protection locked="0"/>
    </xf>
    <xf numFmtId="10" fontId="1" fillId="0" borderId="13" xfId="0" applyNumberFormat="1" applyFont="1" applyBorder="1" applyAlignment="1" applyProtection="1">
      <alignment horizontal="center" vertical="center"/>
      <protection hidden="1"/>
    </xf>
    <xf numFmtId="0" fontId="9" fillId="0" borderId="14" xfId="0" applyFont="1" applyBorder="1" applyAlignment="1" applyProtection="1">
      <alignment horizontal="center" vertical="center"/>
      <protection hidden="1"/>
    </xf>
    <xf numFmtId="0" fontId="16" fillId="0" borderId="11" xfId="0" applyFont="1" applyBorder="1" applyAlignment="1" applyProtection="1">
      <alignment horizontal="center" vertical="center" wrapText="1"/>
      <protection locked="0"/>
    </xf>
    <xf numFmtId="0" fontId="16" fillId="0" borderId="12" xfId="0" applyFont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left" vertical="center"/>
      <protection hidden="1"/>
    </xf>
    <xf numFmtId="0" fontId="13" fillId="0" borderId="7" xfId="0" applyFont="1" applyBorder="1" applyAlignment="1" applyProtection="1">
      <alignment horizontal="left" vertical="center"/>
      <protection hidden="1"/>
    </xf>
    <xf numFmtId="0" fontId="4" fillId="0" borderId="0" xfId="0" applyFont="1" applyBorder="1" applyAlignment="1" applyProtection="1">
      <alignment horizontal="left" vertical="center"/>
      <protection hidden="1"/>
    </xf>
    <xf numFmtId="0" fontId="4" fillId="0" borderId="7" xfId="0" applyFont="1" applyBorder="1" applyAlignment="1" applyProtection="1">
      <alignment horizontal="left" vertical="center"/>
      <protection hidden="1"/>
    </xf>
    <xf numFmtId="10" fontId="1" fillId="0" borderId="15" xfId="0" applyNumberFormat="1" applyFont="1" applyFill="1" applyBorder="1" applyAlignment="1" applyProtection="1">
      <alignment horizontal="center" vertical="center"/>
      <protection locked="0"/>
    </xf>
    <xf numFmtId="10" fontId="9" fillId="0" borderId="16" xfId="0" applyNumberFormat="1" applyFont="1" applyBorder="1" applyAlignment="1" applyProtection="1">
      <alignment/>
      <protection locked="0"/>
    </xf>
    <xf numFmtId="10" fontId="9" fillId="0" borderId="17" xfId="0" applyNumberFormat="1" applyFont="1" applyBorder="1" applyAlignment="1" applyProtection="1">
      <alignment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/>
      <protection hidden="1"/>
    </xf>
    <xf numFmtId="0" fontId="4" fillId="0" borderId="7" xfId="0" applyFont="1" applyBorder="1" applyAlignment="1" applyProtection="1">
      <alignment horizontal="right" vertical="center" wrapText="1"/>
      <protection hidden="1"/>
    </xf>
    <xf numFmtId="0" fontId="4" fillId="0" borderId="0" xfId="0" applyFont="1" applyAlignment="1" applyProtection="1">
      <alignment horizontal="right" vertical="center" wrapText="1"/>
      <protection hidden="1"/>
    </xf>
    <xf numFmtId="10" fontId="1" fillId="0" borderId="16" xfId="0" applyNumberFormat="1" applyFont="1" applyFill="1" applyBorder="1" applyAlignment="1" applyProtection="1">
      <alignment horizontal="center" vertical="center"/>
      <protection locked="0"/>
    </xf>
    <xf numFmtId="10" fontId="1" fillId="0" borderId="17" xfId="0" applyNumberFormat="1" applyFont="1" applyFill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right" vertical="center"/>
      <protection hidden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2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4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153"/>
  <sheetViews>
    <sheetView tabSelected="1" workbookViewId="0" topLeftCell="A11">
      <selection activeCell="B22" sqref="B22"/>
    </sheetView>
  </sheetViews>
  <sheetFormatPr defaultColWidth="9.00390625" defaultRowHeight="12.75"/>
  <cols>
    <col min="1" max="1" width="20.875" style="1" bestFit="1" customWidth="1"/>
    <col min="2" max="2" width="14.75390625" style="2" customWidth="1"/>
    <col min="3" max="3" width="5.75390625" style="2" customWidth="1"/>
    <col min="4" max="4" width="14.75390625" style="2" customWidth="1"/>
    <col min="5" max="5" width="5.75390625" style="2" customWidth="1"/>
    <col min="6" max="6" width="14.75390625" style="2" customWidth="1"/>
    <col min="7" max="7" width="5.75390625" style="2" customWidth="1"/>
    <col min="8" max="8" width="14.75390625" style="2" customWidth="1"/>
    <col min="9" max="9" width="5.75390625" style="2" customWidth="1"/>
    <col min="10" max="10" width="14.75390625" style="2" customWidth="1"/>
    <col min="11" max="11" width="9.125" style="2" customWidth="1"/>
    <col min="12" max="12" width="10.375" style="2" customWidth="1"/>
    <col min="13" max="13" width="10.00390625" style="2" customWidth="1"/>
    <col min="14" max="14" width="12.625" style="2" hidden="1" customWidth="1"/>
    <col min="15" max="15" width="20.375" style="2" hidden="1" customWidth="1"/>
    <col min="16" max="16" width="11.625" style="2" hidden="1" customWidth="1"/>
    <col min="17" max="17" width="12.375" style="2" hidden="1" customWidth="1"/>
    <col min="18" max="18" width="12.125" style="2" hidden="1" customWidth="1"/>
    <col min="19" max="19" width="12.375" style="2" hidden="1" customWidth="1"/>
    <col min="20" max="20" width="10.00390625" style="2" hidden="1" customWidth="1"/>
    <col min="21" max="21" width="12.125" style="2" hidden="1" customWidth="1"/>
    <col min="22" max="22" width="10.875" style="2" hidden="1" customWidth="1"/>
    <col min="23" max="23" width="11.75390625" style="2" hidden="1" customWidth="1"/>
    <col min="24" max="24" width="11.125" style="2" hidden="1" customWidth="1"/>
    <col min="25" max="27" width="9.125" style="2" hidden="1" customWidth="1"/>
    <col min="28" max="16384" width="9.125" style="2" customWidth="1"/>
  </cols>
  <sheetData>
    <row r="1" ht="13.5" thickBot="1"/>
    <row r="2" spans="1:15" ht="17.25" thickBot="1" thickTop="1">
      <c r="A2" s="31" t="s">
        <v>26</v>
      </c>
      <c r="B2" s="200" t="s">
        <v>141</v>
      </c>
      <c r="C2" s="201"/>
      <c r="D2" s="201"/>
      <c r="E2" s="201"/>
      <c r="F2" s="201"/>
      <c r="G2" s="201"/>
      <c r="H2" s="202"/>
      <c r="J2" s="32">
        <f>O2</f>
        <v>100</v>
      </c>
      <c r="O2" s="7">
        <f>IF(C5&gt;=V114,O6,O5)</f>
        <v>100</v>
      </c>
    </row>
    <row r="3" ht="14.25" thickBot="1" thickTop="1">
      <c r="O3" s="22">
        <f>VLOOKUP(B2,O28:R105,4,FALSE)</f>
        <v>0.85</v>
      </c>
    </row>
    <row r="4" spans="1:8" ht="17.25" thickBot="1" thickTop="1">
      <c r="A4" s="194" t="s">
        <v>0</v>
      </c>
      <c r="B4" s="195"/>
      <c r="C4" s="33">
        <v>15</v>
      </c>
      <c r="D4" s="54" t="s">
        <v>1</v>
      </c>
      <c r="E4" s="196" t="s">
        <v>2</v>
      </c>
      <c r="F4" s="197"/>
      <c r="G4" s="205">
        <f>IF(C4&lt;=O148,P148,IF(C4&lt;=O149,P149,IF(C4&lt;=O150,P150,IF(C4&lt;=O151,P151,IF(C4&lt;=O152,P152,10)))))</f>
        <v>0.11</v>
      </c>
      <c r="H4" s="193"/>
    </row>
    <row r="5" spans="1:15" ht="19.5" thickBot="1" thickTop="1">
      <c r="A5" s="203" t="s">
        <v>3</v>
      </c>
      <c r="B5" s="204"/>
      <c r="C5" s="33">
        <v>3</v>
      </c>
      <c r="E5" s="3"/>
      <c r="F5" s="4"/>
      <c r="G5" s="5"/>
      <c r="H5" s="5"/>
      <c r="O5" s="7">
        <f>VLOOKUP(B2,O28:Q105,2,FALSE)</f>
        <v>100</v>
      </c>
    </row>
    <row r="6" spans="2:15" ht="39" thickTop="1">
      <c r="B6" s="27" t="s">
        <v>4</v>
      </c>
      <c r="C6" s="34"/>
      <c r="D6" s="27" t="s">
        <v>5</v>
      </c>
      <c r="E6" s="34"/>
      <c r="F6" s="27" t="s">
        <v>6</v>
      </c>
      <c r="G6" s="34"/>
      <c r="H6" s="27" t="s">
        <v>7</v>
      </c>
      <c r="I6" s="34"/>
      <c r="J6" s="27" t="s">
        <v>8</v>
      </c>
      <c r="N6" s="7">
        <f>O2*C5</f>
        <v>300</v>
      </c>
      <c r="O6" s="7">
        <f>VLOOKUP(B2,O28:Q105,3,FALSE)</f>
        <v>85</v>
      </c>
    </row>
    <row r="7" spans="2:15" ht="13.5" customHeight="1" thickBot="1">
      <c r="B7" s="6"/>
      <c r="D7" s="6"/>
      <c r="F7" s="6"/>
      <c r="H7" s="6"/>
      <c r="O7" s="7"/>
    </row>
    <row r="8" spans="1:15" ht="27" customHeight="1" thickBot="1" thickTop="1">
      <c r="A8" s="31" t="s">
        <v>9</v>
      </c>
      <c r="B8" s="39">
        <v>72933</v>
      </c>
      <c r="C8" s="40"/>
      <c r="D8" s="41">
        <f>ROUND(D10/$O$3,0)</f>
        <v>180932</v>
      </c>
      <c r="E8" s="40"/>
      <c r="F8" s="41">
        <f>ROUND(F10/$O$3,0)</f>
        <v>180932</v>
      </c>
      <c r="G8" s="40"/>
      <c r="H8" s="41">
        <f>ROUND(H10/$O$3,0)</f>
        <v>81565</v>
      </c>
      <c r="I8" s="40"/>
      <c r="J8" s="42">
        <f>IF(O3=1,J16/O3,ROUND(J16/(1-O3),0))</f>
        <v>42600</v>
      </c>
      <c r="O8" s="7"/>
    </row>
    <row r="9" spans="1:10" ht="12.75" customHeight="1" thickBot="1" thickTop="1">
      <c r="A9" s="35"/>
      <c r="B9" s="40"/>
      <c r="C9" s="40"/>
      <c r="D9" s="40"/>
      <c r="E9" s="40"/>
      <c r="F9" s="40"/>
      <c r="G9" s="40"/>
      <c r="H9" s="40"/>
      <c r="I9" s="40"/>
      <c r="J9" s="40"/>
    </row>
    <row r="10" spans="1:23" s="10" customFormat="1" ht="27" customHeight="1" thickBot="1" thickTop="1">
      <c r="A10" s="31" t="s">
        <v>10</v>
      </c>
      <c r="B10" s="43">
        <f>ROUND(B8*O3,0)</f>
        <v>61993</v>
      </c>
      <c r="C10" s="8"/>
      <c r="D10" s="44">
        <v>153792</v>
      </c>
      <c r="E10" s="9"/>
      <c r="F10" s="43">
        <f>ROUND(F12/(($G$4/12)/(1-(1+($G$4/12))^-($C$4*12))),0)</f>
        <v>153792</v>
      </c>
      <c r="G10" s="9"/>
      <c r="H10" s="43">
        <f>ROUND(ROUND(H12,0)/(($G$4/12)/(1-(1+($G$4/12))^-($C$4*12))),0)</f>
        <v>69330</v>
      </c>
      <c r="I10" s="9"/>
      <c r="J10" s="45">
        <f>IF(O3=1,J8,J8-J16)</f>
        <v>36210</v>
      </c>
      <c r="N10" s="81">
        <f>(B12+$N$6)/$T$123</f>
        <v>1675</v>
      </c>
      <c r="O10" s="81">
        <f>B12/$S$123</f>
        <v>1762.5</v>
      </c>
      <c r="P10" s="81">
        <f>(D12+$N$6)/$T$123</f>
        <v>3413.3333333333335</v>
      </c>
      <c r="Q10" s="81">
        <f>D12/$S$123</f>
        <v>4370</v>
      </c>
      <c r="R10" s="81">
        <f>(F12+$N$6)/$T$123</f>
        <v>3413.3333333333335</v>
      </c>
      <c r="S10" s="81">
        <f>F12/$S$123</f>
        <v>4370</v>
      </c>
      <c r="T10" s="2"/>
      <c r="U10" s="2"/>
      <c r="V10" s="81">
        <f>(J12+$N$6)/$T$123</f>
        <v>1186.6666666666667</v>
      </c>
      <c r="W10" s="81">
        <f>J12/$S$123</f>
        <v>1030</v>
      </c>
    </row>
    <row r="11" spans="1:23" ht="12.75" customHeight="1" thickBot="1" thickTop="1">
      <c r="A11" s="36"/>
      <c r="B11" s="9"/>
      <c r="C11" s="9"/>
      <c r="D11" s="9"/>
      <c r="E11" s="40"/>
      <c r="F11" s="9"/>
      <c r="G11" s="40"/>
      <c r="H11" s="9"/>
      <c r="I11" s="40"/>
      <c r="J11" s="9"/>
      <c r="L11" s="10"/>
      <c r="M11" s="12"/>
      <c r="N11" s="80"/>
      <c r="O11" s="81">
        <f>$R$123+0.01</f>
        <v>1000.01</v>
      </c>
      <c r="P11" s="80"/>
      <c r="Q11" s="81">
        <f>$R$123+0.01</f>
        <v>1000.01</v>
      </c>
      <c r="R11" s="80"/>
      <c r="S11" s="81">
        <f>$R$123+0.01</f>
        <v>1000.01</v>
      </c>
      <c r="V11" s="80"/>
      <c r="W11" s="81">
        <f>$R$123+0.01</f>
        <v>1000.01</v>
      </c>
    </row>
    <row r="12" spans="1:23" s="14" customFormat="1" ht="27" customHeight="1" thickBot="1" thickTop="1">
      <c r="A12" s="37" t="s">
        <v>11</v>
      </c>
      <c r="B12" s="46">
        <f>ROUND(B10*(($G$4/12)/(1-(1+($G$4/12))^-($C$4*12))),0)</f>
        <v>705</v>
      </c>
      <c r="C12" s="23"/>
      <c r="D12" s="46">
        <f>ROUND(D10*(($G$4/12)/(1-(1+($G$4/12))^-($C$4*12))),0)</f>
        <v>1748</v>
      </c>
      <c r="E12" s="47"/>
      <c r="F12" s="48">
        <v>1748</v>
      </c>
      <c r="G12" s="47"/>
      <c r="H12" s="46">
        <f>IF(H14=0,0,IF(H14&lt;=R123,MIN(H14*T123-N6,H14*S123),IF(H14&lt;=R124,MIN(H14*T124-N6,H14*S124),IF(H14&lt;=R125,MIN(H14*T125-N6,H14*S125),IF(H14&lt;=R126,MIN(H14*T126-N6,H14*S126),IF(H14&lt;=R127,MIN(H14*T127-N6,H14*S127),IF(H14&lt;=R128,MIN(H14*T128-N6,H14*S128),MIN(H14*T129-N6,H14*S129))))))))</f>
        <v>787.5</v>
      </c>
      <c r="I12" s="47"/>
      <c r="J12" s="46">
        <f>ROUND(J10*(($G$4/12)/(1-(1+($G$4/12))^-($C$4*12))),0)</f>
        <v>412</v>
      </c>
      <c r="N12" s="81">
        <f>(B12+$N$6)/$T$124</f>
        <v>1546.1538461538462</v>
      </c>
      <c r="O12" s="81">
        <f>B12/$S$124</f>
        <v>1566.6666666666665</v>
      </c>
      <c r="P12" s="81">
        <f>(D12+$N$6)/$T$124</f>
        <v>3150.7692307692305</v>
      </c>
      <c r="Q12" s="81">
        <f>D12/$S$124</f>
        <v>3884.4444444444443</v>
      </c>
      <c r="R12" s="81">
        <f>(F12+$N$6)/$T$124</f>
        <v>3150.7692307692305</v>
      </c>
      <c r="S12" s="81">
        <f>F12/$S$124</f>
        <v>3884.4444444444443</v>
      </c>
      <c r="T12" s="10"/>
      <c r="U12" s="10"/>
      <c r="V12" s="81">
        <f>(J12+$N$6)/$T$124</f>
        <v>1095.3846153846152</v>
      </c>
      <c r="W12" s="81">
        <f>J12/$S$124</f>
        <v>915.5555555555555</v>
      </c>
    </row>
    <row r="13" spans="1:23" ht="12.75" customHeight="1" thickBot="1" thickTop="1">
      <c r="A13" s="35"/>
      <c r="B13" s="40"/>
      <c r="C13" s="40"/>
      <c r="D13" s="40"/>
      <c r="E13" s="40"/>
      <c r="F13" s="40"/>
      <c r="G13" s="40"/>
      <c r="H13" s="40"/>
      <c r="I13" s="40"/>
      <c r="J13" s="40"/>
      <c r="N13" s="81"/>
      <c r="O13" s="81">
        <f>$R$124+0.01</f>
        <v>2000.01</v>
      </c>
      <c r="P13" s="81"/>
      <c r="Q13" s="81">
        <f>$R$124+0.01</f>
        <v>2000.01</v>
      </c>
      <c r="R13" s="81"/>
      <c r="S13" s="81">
        <f>$R$124+0.01</f>
        <v>2000.01</v>
      </c>
      <c r="V13" s="81"/>
      <c r="W13" s="81">
        <f>$R$124+0.01</f>
        <v>2000.01</v>
      </c>
    </row>
    <row r="14" spans="1:23" ht="27" thickBot="1" thickTop="1">
      <c r="A14" s="38" t="s">
        <v>12</v>
      </c>
      <c r="B14" s="49">
        <f>IF(B8=0,0,IF(MAX(N10:O10)&lt;=$R$123,MAX(N10:O10),IF(MAX(N12:O12)&lt;=$R$124,MAX(N11:O12),IF(MAX(N14:O14)&lt;=$R$125,MAX(N13:O14),IF(MAX(N16:O16)&lt;=$R$126,MAX(N15:O16),IF(MAX(N18:O18)&lt;=$R$127,MAX(N17:O18),IF(MAX(N20:O20)&lt;=$R$128,MAX(N19:O20),MAX(N21:O22))))))))</f>
        <v>1566.6666666666665</v>
      </c>
      <c r="C14" s="50"/>
      <c r="D14" s="49">
        <f>IF(D8=0,0,IF(MAX(P10:Q10)&lt;=$R$123,MAX(P10:Q10),IF(MAX(P12:Q12)&lt;=$R$124,MAX(P11:Q12),IF(MAX(P14:Q14)&lt;=$R$125,MAX(P13:Q14),IF(MAX(P16:Q16)&lt;=$R$126,MAX(P15:Q16),IF(MAX(P18:Q18)&lt;=$R$127,MAX(P17:Q18),IF(MAX(P20:Q20)&lt;=$R$128,MAX(P19:Q20),MAX(P21:Q22))))))))</f>
        <v>3178.181818181818</v>
      </c>
      <c r="E14" s="40"/>
      <c r="F14" s="49">
        <f>IF(F8=0,0,IF(MAX(R10:S10)&lt;=$R$123,MAX(R10:S10),IF(MAX(R12:S12)&lt;=$R$124,MAX(R11:S12),IF(MAX(R14:S14)&lt;=$R$125,MAX(R13:S14),IF(MAX(R16:S16)&lt;=$R$126,MAX(R15:S16),IF(MAX(R18:S18)&lt;=$R$127,MAX(R17:S18),IF(MAX(R20:S20)&lt;=$R$128,MAX(R19:S20),MAX(R21:S22))))))))</f>
        <v>3178.181818181818</v>
      </c>
      <c r="G14" s="40"/>
      <c r="H14" s="51">
        <v>1750</v>
      </c>
      <c r="I14" s="40"/>
      <c r="J14" s="49">
        <f>IF(J8=0,0,IF(MAX(V10:W10)&lt;=$R$123,MAX(V10:W10),IF(MAX(V12:W12)&lt;=$R$124,MAX(V11:W12),IF(MAX(V14:W14)&lt;=$R$125,MAX(V13:W14),IF(MAX(V16:W16)&lt;=$R$126,MAX(V15:W16),IF(MAX(V18:W18)&lt;=$R$127,MAX(V17:W18),IF(MAX(V20:W20)&lt;=$R$128,MAX(V19:W20),MAX(V21:W22))))))))</f>
        <v>1095.3846153846152</v>
      </c>
      <c r="L14" s="13"/>
      <c r="N14" s="81">
        <f>(B12+$N$6)/$T$125</f>
        <v>1435.7142857142858</v>
      </c>
      <c r="O14" s="81">
        <f>B12/$S$125</f>
        <v>1410</v>
      </c>
      <c r="P14" s="81">
        <f>(D12+$N$6)/$T$125</f>
        <v>2925.714285714286</v>
      </c>
      <c r="Q14" s="81">
        <f>D12/$S$125</f>
        <v>3496</v>
      </c>
      <c r="R14" s="81">
        <f>(F12+$N$6)/$T$125</f>
        <v>2925.714285714286</v>
      </c>
      <c r="S14" s="81">
        <f>F12/$S$125</f>
        <v>3496</v>
      </c>
      <c r="T14" s="14"/>
      <c r="U14" s="14"/>
      <c r="V14" s="81">
        <f>(J12+$N$6)/$T$125</f>
        <v>1017.1428571428572</v>
      </c>
      <c r="W14" s="81">
        <f>J12/$S$125</f>
        <v>824</v>
      </c>
    </row>
    <row r="15" spans="1:23" ht="12.75" customHeight="1" thickBot="1" thickTop="1">
      <c r="A15" s="35"/>
      <c r="B15" s="26"/>
      <c r="C15" s="40"/>
      <c r="D15" s="40"/>
      <c r="E15" s="40"/>
      <c r="F15" s="40"/>
      <c r="G15" s="40"/>
      <c r="H15" s="40"/>
      <c r="I15" s="40"/>
      <c r="J15" s="40"/>
      <c r="N15" s="81"/>
      <c r="O15" s="81">
        <f>$R$125+0.01</f>
        <v>3000.01</v>
      </c>
      <c r="P15" s="81"/>
      <c r="Q15" s="81">
        <f>$R$125+0.01</f>
        <v>3000.01</v>
      </c>
      <c r="R15" s="81"/>
      <c r="S15" s="81">
        <f>$R$125+0.01</f>
        <v>3000.01</v>
      </c>
      <c r="V15" s="81"/>
      <c r="W15" s="81">
        <f>$R$125+0.01</f>
        <v>3000.01</v>
      </c>
    </row>
    <row r="16" spans="1:23" ht="27" customHeight="1" thickBot="1" thickTop="1">
      <c r="A16" s="31" t="s">
        <v>13</v>
      </c>
      <c r="B16" s="52">
        <f>B8-B10</f>
        <v>10940</v>
      </c>
      <c r="C16" s="40"/>
      <c r="D16" s="52">
        <f>D8-D10</f>
        <v>27140</v>
      </c>
      <c r="E16" s="40"/>
      <c r="F16" s="52">
        <f>F8-F10</f>
        <v>27140</v>
      </c>
      <c r="G16" s="40"/>
      <c r="H16" s="52">
        <f>H8-H10</f>
        <v>12235</v>
      </c>
      <c r="I16" s="40"/>
      <c r="J16" s="53">
        <v>6390</v>
      </c>
      <c r="N16" s="81">
        <f>(B12+$N$6)/$T$126</f>
        <v>1340</v>
      </c>
      <c r="O16" s="81">
        <f>B12/$S$126</f>
        <v>1281.8181818181818</v>
      </c>
      <c r="P16" s="81">
        <f>(D12+$N$6)/$T$126</f>
        <v>2730.6666666666665</v>
      </c>
      <c r="Q16" s="81">
        <f>D12/$S$126</f>
        <v>3178.181818181818</v>
      </c>
      <c r="R16" s="81">
        <f>(F12+$N$6)/$T$126</f>
        <v>2730.6666666666665</v>
      </c>
      <c r="S16" s="81">
        <f>F12/$S$126</f>
        <v>3178.181818181818</v>
      </c>
      <c r="V16" s="81">
        <f>(J12+$N$6)/$T$126</f>
        <v>949.3333333333334</v>
      </c>
      <c r="W16" s="81">
        <f>J12/$S$126</f>
        <v>749.090909090909</v>
      </c>
    </row>
    <row r="17" spans="14:23" ht="13.5" thickTop="1">
      <c r="N17" s="79"/>
      <c r="O17" s="81">
        <f>$R$126+0.01</f>
        <v>6000.01</v>
      </c>
      <c r="P17" s="79"/>
      <c r="Q17" s="81">
        <f>$R$126+0.01</f>
        <v>6000.01</v>
      </c>
      <c r="R17" s="79"/>
      <c r="S17" s="81">
        <f>$R$126+0.01</f>
        <v>6000.01</v>
      </c>
      <c r="V17" s="79"/>
      <c r="W17" s="81">
        <f>$R$126+0.01</f>
        <v>6000.01</v>
      </c>
    </row>
    <row r="18" spans="14:23" ht="12.75">
      <c r="N18" s="81">
        <f>(B12+$N$6)/$T$127</f>
        <v>1256.25</v>
      </c>
      <c r="O18" s="81">
        <f>B12/$S$127</f>
        <v>1175</v>
      </c>
      <c r="P18" s="81">
        <f>(D12+$N$6)/$T$127</f>
        <v>2560</v>
      </c>
      <c r="Q18" s="81">
        <f>D12/$S$127</f>
        <v>2913.3333333333335</v>
      </c>
      <c r="R18" s="81">
        <f>(F12+$N$6)/$T$127</f>
        <v>2560</v>
      </c>
      <c r="S18" s="81">
        <f>F12/$S$127</f>
        <v>2913.3333333333335</v>
      </c>
      <c r="V18" s="81">
        <f>(J12+$N$6)/$T$127</f>
        <v>890</v>
      </c>
      <c r="W18" s="81">
        <f>J12/$S$127</f>
        <v>686.6666666666667</v>
      </c>
    </row>
    <row r="19" spans="14:23" ht="12.75">
      <c r="N19" s="79"/>
      <c r="O19" s="81">
        <f>$R$127+0.01</f>
        <v>9000.01</v>
      </c>
      <c r="P19" s="79"/>
      <c r="Q19" s="81">
        <f>$R$127+0.01</f>
        <v>9000.01</v>
      </c>
      <c r="R19" s="79"/>
      <c r="S19" s="81">
        <f>$R$127+0.01</f>
        <v>9000.01</v>
      </c>
      <c r="V19" s="79"/>
      <c r="W19" s="81">
        <f>$R$127+0.01</f>
        <v>9000.01</v>
      </c>
    </row>
    <row r="20" spans="14:23" ht="12.75">
      <c r="N20" s="81">
        <f>(B12+$N$6)/$T$128</f>
        <v>1182.3529411764707</v>
      </c>
      <c r="O20" s="81">
        <f>B12/$S$128</f>
        <v>1084.6153846153845</v>
      </c>
      <c r="P20" s="81">
        <f>(D12+$N$6)/$T$128</f>
        <v>2409.4117647058824</v>
      </c>
      <c r="Q20" s="81">
        <f>D12/$S$128</f>
        <v>2689.230769230769</v>
      </c>
      <c r="R20" s="81">
        <f>(F12+$N$6)/$T$128</f>
        <v>2409.4117647058824</v>
      </c>
      <c r="S20" s="81">
        <f>F12/$S$128</f>
        <v>2689.230769230769</v>
      </c>
      <c r="V20" s="81">
        <f>(J12+$N$6)/$T$128</f>
        <v>837.6470588235294</v>
      </c>
      <c r="W20" s="81">
        <f>J12/$S$128</f>
        <v>633.8461538461538</v>
      </c>
    </row>
    <row r="21" spans="14:23" ht="12.75">
      <c r="N21" s="79"/>
      <c r="O21" s="81">
        <f>$R$128+0.01</f>
        <v>12000.01</v>
      </c>
      <c r="P21" s="79"/>
      <c r="Q21" s="81">
        <f>$R$128+0.01</f>
        <v>12000.01</v>
      </c>
      <c r="R21" s="79"/>
      <c r="S21" s="81">
        <f>$R$128+0.01</f>
        <v>12000.01</v>
      </c>
      <c r="V21" s="79"/>
      <c r="W21" s="81">
        <f>$R$128+0.01</f>
        <v>12000.01</v>
      </c>
    </row>
    <row r="22" spans="14:23" ht="12.75">
      <c r="N22" s="81">
        <f>(B12+$N$6)/$T$129</f>
        <v>1116.6666666666667</v>
      </c>
      <c r="O22" s="81">
        <f>B12/$S$129</f>
        <v>1007.1428571428572</v>
      </c>
      <c r="P22" s="81">
        <f>(D12+$N$6)/$T$129</f>
        <v>2275.5555555555557</v>
      </c>
      <c r="Q22" s="81">
        <f>D12/$S$129</f>
        <v>2497.1428571428573</v>
      </c>
      <c r="R22" s="81">
        <f>(F12+$N$6)/$T$129</f>
        <v>2275.5555555555557</v>
      </c>
      <c r="S22" s="81">
        <f>F12/$S$129</f>
        <v>2497.1428571428573</v>
      </c>
      <c r="V22" s="81">
        <f>(J12+$N$6)/$T$129</f>
        <v>791.1111111111111</v>
      </c>
      <c r="W22" s="81">
        <f>J12/$S$129</f>
        <v>588.5714285714286</v>
      </c>
    </row>
    <row r="23" spans="14:23" ht="12.75">
      <c r="N23" s="11"/>
      <c r="O23" s="11"/>
      <c r="P23" s="11"/>
      <c r="Q23" s="11"/>
      <c r="R23" s="11"/>
      <c r="S23" s="11"/>
      <c r="V23" s="11"/>
      <c r="W23" s="11"/>
    </row>
    <row r="24" spans="14:23" ht="12.75">
      <c r="N24" s="11"/>
      <c r="O24" s="11"/>
      <c r="P24" s="11"/>
      <c r="Q24" s="11"/>
      <c r="R24" s="11"/>
      <c r="S24" s="11"/>
      <c r="V24" s="11"/>
      <c r="W24" s="11"/>
    </row>
    <row r="26" spans="18:27" ht="12.75">
      <c r="R26" s="175" t="s">
        <v>116</v>
      </c>
      <c r="S26" s="175" t="s">
        <v>119</v>
      </c>
      <c r="T26" s="175" t="s">
        <v>117</v>
      </c>
      <c r="U26" s="199" t="s">
        <v>118</v>
      </c>
      <c r="V26" s="199"/>
      <c r="W26" s="199" t="s">
        <v>120</v>
      </c>
      <c r="X26" s="199"/>
      <c r="Y26" s="199" t="s">
        <v>133</v>
      </c>
      <c r="Z26" s="199"/>
      <c r="AA26" s="199"/>
    </row>
    <row r="27" spans="18:27" ht="12.75">
      <c r="R27" s="175"/>
      <c r="S27" s="175"/>
      <c r="T27" s="175"/>
      <c r="U27" s="175" t="s">
        <v>116</v>
      </c>
      <c r="V27" s="175" t="s">
        <v>117</v>
      </c>
      <c r="W27" s="175" t="s">
        <v>116</v>
      </c>
      <c r="X27" s="175" t="s">
        <v>119</v>
      </c>
      <c r="Y27" s="2" t="s">
        <v>134</v>
      </c>
      <c r="Z27" s="2" t="s">
        <v>136</v>
      </c>
      <c r="AA27" s="2" t="s">
        <v>135</v>
      </c>
    </row>
    <row r="28" spans="15:27" ht="12.75">
      <c r="O28" s="87" t="s">
        <v>141</v>
      </c>
      <c r="P28" s="88">
        <v>100</v>
      </c>
      <c r="Q28" s="88">
        <v>85</v>
      </c>
      <c r="R28" s="89">
        <v>0.85</v>
      </c>
      <c r="S28" s="89">
        <v>0.85</v>
      </c>
      <c r="T28" s="89">
        <v>0.7</v>
      </c>
      <c r="U28" s="89">
        <v>0.85</v>
      </c>
      <c r="V28" s="174">
        <v>0.7</v>
      </c>
      <c r="W28" s="89">
        <v>0.85</v>
      </c>
      <c r="X28" s="89">
        <v>0.95</v>
      </c>
      <c r="Y28" s="181">
        <v>1</v>
      </c>
      <c r="Z28" s="181">
        <v>0.9</v>
      </c>
      <c r="AA28" s="181">
        <v>0.85</v>
      </c>
    </row>
    <row r="29" spans="15:27" ht="12.75">
      <c r="O29" s="87" t="s">
        <v>68</v>
      </c>
      <c r="P29" s="88">
        <v>100</v>
      </c>
      <c r="Q29" s="88">
        <v>85</v>
      </c>
      <c r="R29" s="89">
        <v>0.85</v>
      </c>
      <c r="S29" s="89">
        <v>0.85</v>
      </c>
      <c r="T29" s="89">
        <v>0.7</v>
      </c>
      <c r="U29" s="89">
        <v>0.85</v>
      </c>
      <c r="V29" s="174">
        <v>0.7</v>
      </c>
      <c r="W29" s="89">
        <v>0.85</v>
      </c>
      <c r="X29" s="89">
        <v>0.95</v>
      </c>
      <c r="Y29" s="181">
        <v>1</v>
      </c>
      <c r="Z29" s="181">
        <v>0.9</v>
      </c>
      <c r="AA29" s="181">
        <v>0.85</v>
      </c>
    </row>
    <row r="30" spans="15:27" ht="12.75">
      <c r="O30" s="87" t="s">
        <v>69</v>
      </c>
      <c r="P30" s="88">
        <v>100</v>
      </c>
      <c r="Q30" s="88">
        <v>85</v>
      </c>
      <c r="R30" s="89">
        <v>0.9</v>
      </c>
      <c r="S30" s="89">
        <v>0.85</v>
      </c>
      <c r="T30" s="89">
        <v>0.7</v>
      </c>
      <c r="U30" s="89">
        <v>0.85</v>
      </c>
      <c r="V30" s="174">
        <v>0.7</v>
      </c>
      <c r="W30" s="89">
        <v>0.9</v>
      </c>
      <c r="X30" s="89">
        <v>0.95</v>
      </c>
      <c r="Y30" s="181">
        <v>1</v>
      </c>
      <c r="Z30" s="181">
        <v>0.9</v>
      </c>
      <c r="AA30" s="181">
        <v>0.85</v>
      </c>
    </row>
    <row r="31" spans="15:27" ht="12.75">
      <c r="O31" s="87" t="s">
        <v>121</v>
      </c>
      <c r="P31" s="88">
        <v>100</v>
      </c>
      <c r="Q31" s="88">
        <v>85</v>
      </c>
      <c r="R31" s="89">
        <v>0.85</v>
      </c>
      <c r="S31" s="89">
        <v>0.85</v>
      </c>
      <c r="T31" s="89">
        <v>0.7</v>
      </c>
      <c r="U31" s="89">
        <v>0.85</v>
      </c>
      <c r="V31" s="174">
        <v>0.7</v>
      </c>
      <c r="W31" s="89">
        <v>0.85</v>
      </c>
      <c r="X31" s="89">
        <v>0.95</v>
      </c>
      <c r="Y31" s="181">
        <v>1</v>
      </c>
      <c r="Z31" s="181">
        <v>0.9</v>
      </c>
      <c r="AA31" s="181">
        <v>0.85</v>
      </c>
    </row>
    <row r="32" spans="15:27" ht="12.75">
      <c r="O32" s="87" t="s">
        <v>70</v>
      </c>
      <c r="P32" s="88">
        <v>100</v>
      </c>
      <c r="Q32" s="88">
        <v>85</v>
      </c>
      <c r="R32" s="89">
        <v>0.9</v>
      </c>
      <c r="S32" s="89">
        <v>0.85</v>
      </c>
      <c r="T32" s="89">
        <v>0.7</v>
      </c>
      <c r="U32" s="89">
        <v>0.85</v>
      </c>
      <c r="V32" s="174">
        <v>0.7</v>
      </c>
      <c r="W32" s="89">
        <v>0.9</v>
      </c>
      <c r="X32" s="89">
        <v>0.95</v>
      </c>
      <c r="Y32" s="181">
        <v>1</v>
      </c>
      <c r="Z32" s="181">
        <v>0.9</v>
      </c>
      <c r="AA32" s="181">
        <v>0.85</v>
      </c>
    </row>
    <row r="33" spans="15:27" ht="12.75">
      <c r="O33" s="87" t="s">
        <v>122</v>
      </c>
      <c r="P33" s="88">
        <v>100</v>
      </c>
      <c r="Q33" s="88">
        <v>85</v>
      </c>
      <c r="R33" s="89">
        <v>0.85</v>
      </c>
      <c r="S33" s="89">
        <v>0.85</v>
      </c>
      <c r="T33" s="89">
        <v>0.7</v>
      </c>
      <c r="U33" s="89">
        <v>0.85</v>
      </c>
      <c r="V33" s="174">
        <v>0.7</v>
      </c>
      <c r="W33" s="89">
        <v>0.85</v>
      </c>
      <c r="X33" s="89">
        <v>0.95</v>
      </c>
      <c r="Y33" s="181">
        <v>1</v>
      </c>
      <c r="Z33" s="181">
        <v>0.9</v>
      </c>
      <c r="AA33" s="181">
        <v>0.85</v>
      </c>
    </row>
    <row r="34" spans="15:27" ht="12.75">
      <c r="O34" s="87" t="s">
        <v>71</v>
      </c>
      <c r="P34" s="88">
        <v>100</v>
      </c>
      <c r="Q34" s="88">
        <v>85</v>
      </c>
      <c r="R34" s="89">
        <v>0.9</v>
      </c>
      <c r="S34" s="89">
        <v>0.85</v>
      </c>
      <c r="T34" s="89">
        <v>0.7</v>
      </c>
      <c r="U34" s="89">
        <v>0.85</v>
      </c>
      <c r="V34" s="174">
        <v>0.7</v>
      </c>
      <c r="W34" s="89">
        <v>0.9</v>
      </c>
      <c r="X34" s="89">
        <v>0.95</v>
      </c>
      <c r="Y34" s="181">
        <v>1</v>
      </c>
      <c r="Z34" s="181">
        <v>0.9</v>
      </c>
      <c r="AA34" s="181">
        <v>0.85</v>
      </c>
    </row>
    <row r="35" spans="15:27" ht="12.75">
      <c r="O35" s="87" t="s">
        <v>123</v>
      </c>
      <c r="P35" s="88">
        <v>100</v>
      </c>
      <c r="Q35" s="88">
        <v>85</v>
      </c>
      <c r="R35" s="89">
        <v>0.85</v>
      </c>
      <c r="S35" s="89">
        <v>0.85</v>
      </c>
      <c r="T35" s="89">
        <v>0.7</v>
      </c>
      <c r="U35" s="89">
        <v>0.85</v>
      </c>
      <c r="V35" s="174">
        <v>0.7</v>
      </c>
      <c r="W35" s="89">
        <v>0.85</v>
      </c>
      <c r="X35" s="89">
        <v>0.95</v>
      </c>
      <c r="Y35" s="181">
        <v>1</v>
      </c>
      <c r="Z35" s="181">
        <v>0.9</v>
      </c>
      <c r="AA35" s="181">
        <v>0.85</v>
      </c>
    </row>
    <row r="36" spans="15:27" ht="12.75">
      <c r="O36" s="87" t="s">
        <v>72</v>
      </c>
      <c r="P36" s="88">
        <v>100</v>
      </c>
      <c r="Q36" s="88">
        <v>85</v>
      </c>
      <c r="R36" s="89">
        <v>0.9</v>
      </c>
      <c r="S36" s="89">
        <v>0.85</v>
      </c>
      <c r="T36" s="89">
        <v>0.7</v>
      </c>
      <c r="U36" s="89">
        <v>0.85</v>
      </c>
      <c r="V36" s="174">
        <v>0.7</v>
      </c>
      <c r="W36" s="89">
        <v>0.9</v>
      </c>
      <c r="X36" s="89">
        <v>0.95</v>
      </c>
      <c r="Y36" s="181">
        <v>1</v>
      </c>
      <c r="Z36" s="181">
        <v>0.9</v>
      </c>
      <c r="AA36" s="181">
        <v>0.85</v>
      </c>
    </row>
    <row r="37" spans="15:27" ht="12.75">
      <c r="O37" s="87" t="s">
        <v>73</v>
      </c>
      <c r="P37" s="88">
        <v>100</v>
      </c>
      <c r="Q37" s="88">
        <v>85</v>
      </c>
      <c r="R37" s="89">
        <v>0.85</v>
      </c>
      <c r="S37" s="89">
        <v>0.85</v>
      </c>
      <c r="T37" s="89">
        <v>0.7</v>
      </c>
      <c r="U37" s="89">
        <v>0.85</v>
      </c>
      <c r="V37" s="174">
        <v>0.7</v>
      </c>
      <c r="W37" s="89">
        <v>0.85</v>
      </c>
      <c r="X37" s="89">
        <v>0.95</v>
      </c>
      <c r="Y37" s="181">
        <v>1</v>
      </c>
      <c r="Z37" s="181">
        <v>0.9</v>
      </c>
      <c r="AA37" s="181">
        <v>0.85</v>
      </c>
    </row>
    <row r="38" spans="15:27" ht="12.75">
      <c r="O38" s="87" t="s">
        <v>74</v>
      </c>
      <c r="P38" s="88">
        <v>100</v>
      </c>
      <c r="Q38" s="88">
        <v>85</v>
      </c>
      <c r="R38" s="89">
        <v>0.9</v>
      </c>
      <c r="S38" s="89">
        <v>0.85</v>
      </c>
      <c r="T38" s="89">
        <v>0.7</v>
      </c>
      <c r="U38" s="89">
        <v>0.85</v>
      </c>
      <c r="V38" s="174">
        <v>0.7</v>
      </c>
      <c r="W38" s="89">
        <v>0.9</v>
      </c>
      <c r="X38" s="89">
        <v>0.95</v>
      </c>
      <c r="Y38" s="181">
        <v>1</v>
      </c>
      <c r="Z38" s="181">
        <v>0.9</v>
      </c>
      <c r="AA38" s="181">
        <v>0.85</v>
      </c>
    </row>
    <row r="39" spans="15:27" ht="12.75">
      <c r="O39" s="87" t="s">
        <v>75</v>
      </c>
      <c r="P39" s="88">
        <v>100</v>
      </c>
      <c r="Q39" s="88">
        <v>85</v>
      </c>
      <c r="R39" s="89">
        <v>0.85</v>
      </c>
      <c r="S39" s="89">
        <v>0.85</v>
      </c>
      <c r="T39" s="89">
        <v>0.7</v>
      </c>
      <c r="U39" s="89">
        <v>0.85</v>
      </c>
      <c r="V39" s="174">
        <v>0.7</v>
      </c>
      <c r="W39" s="89">
        <v>0.85</v>
      </c>
      <c r="X39" s="89">
        <v>0.95</v>
      </c>
      <c r="Y39" s="181">
        <v>1</v>
      </c>
      <c r="Z39" s="181">
        <v>0.9</v>
      </c>
      <c r="AA39" s="181">
        <v>0.85</v>
      </c>
    </row>
    <row r="40" spans="15:27" ht="12.75">
      <c r="O40" s="87" t="s">
        <v>76</v>
      </c>
      <c r="P40" s="88">
        <v>100</v>
      </c>
      <c r="Q40" s="88">
        <v>85</v>
      </c>
      <c r="R40" s="89">
        <v>0.9</v>
      </c>
      <c r="S40" s="89">
        <v>0.85</v>
      </c>
      <c r="T40" s="89">
        <v>0.7</v>
      </c>
      <c r="U40" s="89">
        <v>0.85</v>
      </c>
      <c r="V40" s="174">
        <v>0.7</v>
      </c>
      <c r="W40" s="89">
        <v>0.9</v>
      </c>
      <c r="X40" s="89">
        <v>0.95</v>
      </c>
      <c r="Y40" s="181">
        <v>1</v>
      </c>
      <c r="Z40" s="181">
        <v>0.9</v>
      </c>
      <c r="AA40" s="181">
        <v>0.85</v>
      </c>
    </row>
    <row r="41" spans="15:27" ht="12.75">
      <c r="O41" s="87" t="s">
        <v>77</v>
      </c>
      <c r="P41" s="88">
        <v>120</v>
      </c>
      <c r="Q41" s="88">
        <v>100</v>
      </c>
      <c r="R41" s="89">
        <v>0.9</v>
      </c>
      <c r="S41" s="89">
        <v>0.85</v>
      </c>
      <c r="T41" s="89">
        <v>0.7</v>
      </c>
      <c r="U41" s="89">
        <v>0.85</v>
      </c>
      <c r="V41" s="174">
        <v>0.7</v>
      </c>
      <c r="W41" s="89">
        <v>0.9</v>
      </c>
      <c r="X41" s="89">
        <v>0.95</v>
      </c>
      <c r="Y41" s="181">
        <v>1</v>
      </c>
      <c r="Z41" s="181">
        <v>0.9</v>
      </c>
      <c r="AA41" s="181">
        <v>0.85</v>
      </c>
    </row>
    <row r="42" spans="15:27" ht="12.75">
      <c r="O42" s="87" t="s">
        <v>137</v>
      </c>
      <c r="P42" s="88">
        <v>100</v>
      </c>
      <c r="Q42" s="88">
        <v>85</v>
      </c>
      <c r="R42" s="89">
        <v>0.85</v>
      </c>
      <c r="S42" s="89">
        <v>0.85</v>
      </c>
      <c r="T42" s="89">
        <v>0.7</v>
      </c>
      <c r="U42" s="89">
        <v>0.85</v>
      </c>
      <c r="V42" s="174">
        <v>0.7</v>
      </c>
      <c r="W42" s="89">
        <v>0.85</v>
      </c>
      <c r="X42" s="89">
        <v>0.95</v>
      </c>
      <c r="Y42" s="181">
        <v>1</v>
      </c>
      <c r="Z42" s="181">
        <v>0.9</v>
      </c>
      <c r="AA42" s="181">
        <v>0.85</v>
      </c>
    </row>
    <row r="43" spans="15:27" ht="12.75">
      <c r="O43" s="87" t="s">
        <v>78</v>
      </c>
      <c r="P43" s="88">
        <v>120</v>
      </c>
      <c r="Q43" s="88">
        <v>100</v>
      </c>
      <c r="R43" s="89">
        <v>0.85</v>
      </c>
      <c r="S43" s="89">
        <v>0.85</v>
      </c>
      <c r="T43" s="89">
        <v>0.7</v>
      </c>
      <c r="U43" s="89">
        <v>0.85</v>
      </c>
      <c r="V43" s="174">
        <v>0.7</v>
      </c>
      <c r="W43" s="89">
        <v>0.85</v>
      </c>
      <c r="X43" s="89">
        <v>0.95</v>
      </c>
      <c r="Y43" s="181">
        <v>1</v>
      </c>
      <c r="Z43" s="181">
        <v>0.9</v>
      </c>
      <c r="AA43" s="181">
        <v>0.85</v>
      </c>
    </row>
    <row r="44" spans="15:27" ht="12.75">
      <c r="O44" s="87" t="s">
        <v>79</v>
      </c>
      <c r="P44" s="88">
        <v>120</v>
      </c>
      <c r="Q44" s="88">
        <v>100</v>
      </c>
      <c r="R44" s="89">
        <v>0.9</v>
      </c>
      <c r="S44" s="89">
        <v>0.85</v>
      </c>
      <c r="T44" s="89">
        <v>0.7</v>
      </c>
      <c r="U44" s="89">
        <v>0.85</v>
      </c>
      <c r="V44" s="174">
        <v>0.7</v>
      </c>
      <c r="W44" s="89">
        <v>0.9</v>
      </c>
      <c r="X44" s="89">
        <v>0.95</v>
      </c>
      <c r="Y44" s="181">
        <v>1</v>
      </c>
      <c r="Z44" s="181">
        <v>0.9</v>
      </c>
      <c r="AA44" s="181">
        <v>0.85</v>
      </c>
    </row>
    <row r="45" spans="15:27" ht="12.75">
      <c r="O45" s="87" t="s">
        <v>80</v>
      </c>
      <c r="P45" s="88">
        <v>120</v>
      </c>
      <c r="Q45" s="88">
        <v>100</v>
      </c>
      <c r="R45" s="89">
        <v>0.9</v>
      </c>
      <c r="S45" s="89">
        <v>0.85</v>
      </c>
      <c r="T45" s="89">
        <v>0.7</v>
      </c>
      <c r="U45" s="89">
        <v>0.85</v>
      </c>
      <c r="V45" s="174">
        <v>0.7</v>
      </c>
      <c r="W45" s="89">
        <v>0.9</v>
      </c>
      <c r="X45" s="89">
        <v>0.95</v>
      </c>
      <c r="Y45" s="181">
        <v>1</v>
      </c>
      <c r="Z45" s="181">
        <v>0.9</v>
      </c>
      <c r="AA45" s="181">
        <v>0.85</v>
      </c>
    </row>
    <row r="46" spans="15:27" ht="12.75">
      <c r="O46" s="87" t="s">
        <v>124</v>
      </c>
      <c r="P46" s="88">
        <v>100</v>
      </c>
      <c r="Q46" s="88">
        <v>85</v>
      </c>
      <c r="R46" s="89">
        <v>0.85</v>
      </c>
      <c r="S46" s="89">
        <v>0.85</v>
      </c>
      <c r="T46" s="89">
        <v>0.7</v>
      </c>
      <c r="U46" s="89">
        <v>0.85</v>
      </c>
      <c r="V46" s="174">
        <v>0.7</v>
      </c>
      <c r="W46" s="89">
        <v>0.85</v>
      </c>
      <c r="X46" s="89">
        <v>0.95</v>
      </c>
      <c r="Y46" s="181">
        <v>1</v>
      </c>
      <c r="Z46" s="181">
        <v>0.9</v>
      </c>
      <c r="AA46" s="181">
        <v>0.85</v>
      </c>
    </row>
    <row r="47" spans="15:27" ht="12.75">
      <c r="O47" s="87" t="s">
        <v>81</v>
      </c>
      <c r="P47" s="88">
        <v>100</v>
      </c>
      <c r="Q47" s="88">
        <v>85</v>
      </c>
      <c r="R47" s="89">
        <v>0.9</v>
      </c>
      <c r="S47" s="89">
        <v>0.85</v>
      </c>
      <c r="T47" s="89">
        <v>0.7</v>
      </c>
      <c r="U47" s="89">
        <v>0.85</v>
      </c>
      <c r="V47" s="174">
        <v>0.7</v>
      </c>
      <c r="W47" s="89">
        <v>0.9</v>
      </c>
      <c r="X47" s="89">
        <v>0.95</v>
      </c>
      <c r="Y47" s="181">
        <v>1</v>
      </c>
      <c r="Z47" s="181">
        <v>0.9</v>
      </c>
      <c r="AA47" s="181">
        <v>0.85</v>
      </c>
    </row>
    <row r="48" spans="15:27" ht="12.75">
      <c r="O48" s="87" t="s">
        <v>82</v>
      </c>
      <c r="P48" s="88">
        <v>100</v>
      </c>
      <c r="Q48" s="88">
        <v>85</v>
      </c>
      <c r="R48" s="89">
        <v>0.85</v>
      </c>
      <c r="S48" s="89">
        <v>0.85</v>
      </c>
      <c r="T48" s="89">
        <v>0.7</v>
      </c>
      <c r="U48" s="89">
        <v>0.85</v>
      </c>
      <c r="V48" s="174">
        <v>0.7</v>
      </c>
      <c r="W48" s="89">
        <v>0.85</v>
      </c>
      <c r="X48" s="89">
        <v>0.95</v>
      </c>
      <c r="Y48" s="181">
        <v>1</v>
      </c>
      <c r="Z48" s="181">
        <v>0.9</v>
      </c>
      <c r="AA48" s="181">
        <v>0.85</v>
      </c>
    </row>
    <row r="49" spans="15:27" ht="12.75">
      <c r="O49" s="87" t="s">
        <v>83</v>
      </c>
      <c r="P49" s="88">
        <v>100</v>
      </c>
      <c r="Q49" s="88">
        <v>85</v>
      </c>
      <c r="R49" s="89">
        <v>0.9</v>
      </c>
      <c r="S49" s="89">
        <v>0.85</v>
      </c>
      <c r="T49" s="89">
        <v>0.7</v>
      </c>
      <c r="U49" s="89">
        <v>0.85</v>
      </c>
      <c r="V49" s="174">
        <v>0.7</v>
      </c>
      <c r="W49" s="89">
        <v>0.9</v>
      </c>
      <c r="X49" s="89">
        <v>0.95</v>
      </c>
      <c r="Y49" s="181">
        <v>1</v>
      </c>
      <c r="Z49" s="181">
        <v>0.9</v>
      </c>
      <c r="AA49" s="181">
        <v>0.85</v>
      </c>
    </row>
    <row r="50" spans="15:27" ht="12.75">
      <c r="O50" s="87" t="s">
        <v>84</v>
      </c>
      <c r="P50" s="88">
        <v>100</v>
      </c>
      <c r="Q50" s="88">
        <v>85</v>
      </c>
      <c r="R50" s="89">
        <v>0.85</v>
      </c>
      <c r="S50" s="89">
        <v>0.85</v>
      </c>
      <c r="T50" s="89">
        <v>0.7</v>
      </c>
      <c r="U50" s="89">
        <v>0.85</v>
      </c>
      <c r="V50" s="174">
        <v>0.7</v>
      </c>
      <c r="W50" s="89">
        <v>0.85</v>
      </c>
      <c r="X50" s="89">
        <v>0.95</v>
      </c>
      <c r="Y50" s="181">
        <v>1</v>
      </c>
      <c r="Z50" s="181">
        <v>0.9</v>
      </c>
      <c r="AA50" s="181">
        <v>0.85</v>
      </c>
    </row>
    <row r="51" spans="15:27" ht="12.75">
      <c r="O51" s="87" t="s">
        <v>85</v>
      </c>
      <c r="P51" s="88">
        <v>100</v>
      </c>
      <c r="Q51" s="88">
        <v>85</v>
      </c>
      <c r="R51" s="89">
        <v>0.9</v>
      </c>
      <c r="S51" s="89">
        <v>0.85</v>
      </c>
      <c r="T51" s="89">
        <v>0.7</v>
      </c>
      <c r="U51" s="89">
        <v>0.85</v>
      </c>
      <c r="V51" s="174">
        <v>0.7</v>
      </c>
      <c r="W51" s="89">
        <v>0.9</v>
      </c>
      <c r="X51" s="89">
        <v>0.95</v>
      </c>
      <c r="Y51" s="181">
        <v>1</v>
      </c>
      <c r="Z51" s="181">
        <v>0.9</v>
      </c>
      <c r="AA51" s="181">
        <v>0.85</v>
      </c>
    </row>
    <row r="52" spans="15:27" ht="12.75">
      <c r="O52" s="87" t="s">
        <v>86</v>
      </c>
      <c r="P52" s="88">
        <v>100</v>
      </c>
      <c r="Q52" s="88">
        <v>85</v>
      </c>
      <c r="R52" s="89">
        <v>0.85</v>
      </c>
      <c r="S52" s="89">
        <v>0.85</v>
      </c>
      <c r="T52" s="89">
        <v>0.7</v>
      </c>
      <c r="U52" s="89">
        <v>0.85</v>
      </c>
      <c r="V52" s="174">
        <v>0.7</v>
      </c>
      <c r="W52" s="89">
        <v>0.85</v>
      </c>
      <c r="X52" s="89">
        <v>0.95</v>
      </c>
      <c r="Y52" s="181">
        <v>1</v>
      </c>
      <c r="Z52" s="181">
        <v>0.9</v>
      </c>
      <c r="AA52" s="181">
        <v>0.85</v>
      </c>
    </row>
    <row r="53" spans="15:27" ht="12.75">
      <c r="O53" s="87" t="s">
        <v>87</v>
      </c>
      <c r="P53" s="88">
        <v>100</v>
      </c>
      <c r="Q53" s="88">
        <v>85</v>
      </c>
      <c r="R53" s="89">
        <v>0.9</v>
      </c>
      <c r="S53" s="89">
        <v>0.85</v>
      </c>
      <c r="T53" s="89">
        <v>0.7</v>
      </c>
      <c r="U53" s="89">
        <v>0.85</v>
      </c>
      <c r="V53" s="174">
        <v>0.7</v>
      </c>
      <c r="W53" s="89">
        <v>0.9</v>
      </c>
      <c r="X53" s="89">
        <v>0.95</v>
      </c>
      <c r="Y53" s="181">
        <v>1</v>
      </c>
      <c r="Z53" s="181">
        <v>0.9</v>
      </c>
      <c r="AA53" s="181">
        <v>0.85</v>
      </c>
    </row>
    <row r="54" spans="15:27" ht="12.75">
      <c r="O54" s="87" t="s">
        <v>88</v>
      </c>
      <c r="P54" s="88">
        <v>100</v>
      </c>
      <c r="Q54" s="88">
        <v>85</v>
      </c>
      <c r="R54" s="89">
        <v>0.9</v>
      </c>
      <c r="S54" s="89">
        <v>0.85</v>
      </c>
      <c r="T54" s="89">
        <v>0.7</v>
      </c>
      <c r="U54" s="89">
        <v>0.85</v>
      </c>
      <c r="V54" s="174">
        <v>0.7</v>
      </c>
      <c r="W54" s="89">
        <v>0.9</v>
      </c>
      <c r="X54" s="89">
        <v>0.95</v>
      </c>
      <c r="Y54" s="181">
        <v>1</v>
      </c>
      <c r="Z54" s="181">
        <v>0.9</v>
      </c>
      <c r="AA54" s="181">
        <v>0.85</v>
      </c>
    </row>
    <row r="55" spans="15:27" ht="12.75">
      <c r="O55" s="87" t="s">
        <v>36</v>
      </c>
      <c r="P55" s="88">
        <v>100</v>
      </c>
      <c r="Q55" s="88">
        <v>85</v>
      </c>
      <c r="R55" s="89">
        <v>0.85</v>
      </c>
      <c r="S55" s="89">
        <v>0.85</v>
      </c>
      <c r="T55" s="89">
        <v>0.7</v>
      </c>
      <c r="U55" s="89">
        <v>0.85</v>
      </c>
      <c r="V55" s="174">
        <v>0.7</v>
      </c>
      <c r="W55" s="89">
        <v>0.85</v>
      </c>
      <c r="X55" s="89">
        <v>0.95</v>
      </c>
      <c r="Y55" s="181">
        <v>1</v>
      </c>
      <c r="Z55" s="181">
        <v>0.9</v>
      </c>
      <c r="AA55" s="181">
        <v>0.85</v>
      </c>
    </row>
    <row r="56" spans="15:27" ht="12.75">
      <c r="O56" s="87" t="s">
        <v>37</v>
      </c>
      <c r="P56" s="88">
        <v>100</v>
      </c>
      <c r="Q56" s="88">
        <v>85</v>
      </c>
      <c r="R56" s="89">
        <v>1</v>
      </c>
      <c r="S56" s="174">
        <v>0.95</v>
      </c>
      <c r="T56" s="89">
        <v>0.9</v>
      </c>
      <c r="U56" s="89">
        <v>0.95</v>
      </c>
      <c r="V56" s="174">
        <v>0.95</v>
      </c>
      <c r="W56" s="89">
        <v>1</v>
      </c>
      <c r="X56" s="89">
        <v>0.95</v>
      </c>
      <c r="Y56" s="181">
        <v>1</v>
      </c>
      <c r="Z56" s="181">
        <v>0.9</v>
      </c>
      <c r="AA56" s="181">
        <v>0.85</v>
      </c>
    </row>
    <row r="57" spans="15:27" ht="12.75">
      <c r="O57" s="87" t="s">
        <v>125</v>
      </c>
      <c r="P57" s="88">
        <v>100</v>
      </c>
      <c r="Q57" s="88">
        <v>85</v>
      </c>
      <c r="R57" s="89">
        <v>0.85</v>
      </c>
      <c r="S57" s="89">
        <v>0.85</v>
      </c>
      <c r="T57" s="89">
        <v>0.7</v>
      </c>
      <c r="U57" s="89">
        <v>0.85</v>
      </c>
      <c r="V57" s="174">
        <v>0.7</v>
      </c>
      <c r="W57" s="89">
        <v>0.85</v>
      </c>
      <c r="X57" s="89">
        <v>0.95</v>
      </c>
      <c r="Y57" s="181">
        <v>1</v>
      </c>
      <c r="Z57" s="181">
        <v>0.9</v>
      </c>
      <c r="AA57" s="181">
        <v>0.85</v>
      </c>
    </row>
    <row r="58" spans="15:27" ht="12.75">
      <c r="O58" s="87" t="s">
        <v>89</v>
      </c>
      <c r="P58" s="88">
        <v>100</v>
      </c>
      <c r="Q58" s="88">
        <v>85</v>
      </c>
      <c r="R58" s="89">
        <v>0.9</v>
      </c>
      <c r="S58" s="89">
        <v>0.85</v>
      </c>
      <c r="T58" s="89">
        <v>0.7</v>
      </c>
      <c r="U58" s="89">
        <v>0.85</v>
      </c>
      <c r="V58" s="174">
        <v>0.7</v>
      </c>
      <c r="W58" s="89">
        <v>0.9</v>
      </c>
      <c r="X58" s="89">
        <v>0.95</v>
      </c>
      <c r="Y58" s="181">
        <v>1</v>
      </c>
      <c r="Z58" s="181">
        <v>0.9</v>
      </c>
      <c r="AA58" s="181">
        <v>0.85</v>
      </c>
    </row>
    <row r="59" spans="15:27" ht="12.75">
      <c r="O59" s="87" t="s">
        <v>27</v>
      </c>
      <c r="P59" s="88">
        <v>120</v>
      </c>
      <c r="Q59" s="88">
        <v>100</v>
      </c>
      <c r="R59" s="89">
        <v>1</v>
      </c>
      <c r="S59" s="174">
        <v>0.95</v>
      </c>
      <c r="T59" s="89">
        <v>0.9</v>
      </c>
      <c r="U59" s="89">
        <v>0.95</v>
      </c>
      <c r="V59" s="174">
        <v>0.95</v>
      </c>
      <c r="W59" s="89">
        <v>1</v>
      </c>
      <c r="X59" s="89">
        <v>0.95</v>
      </c>
      <c r="Y59" s="181">
        <v>1</v>
      </c>
      <c r="Z59" s="181">
        <v>0.9</v>
      </c>
      <c r="AA59" s="181">
        <v>0.85</v>
      </c>
    </row>
    <row r="60" spans="15:27" ht="12.75">
      <c r="O60" s="87" t="s">
        <v>90</v>
      </c>
      <c r="P60" s="88">
        <v>100</v>
      </c>
      <c r="Q60" s="88">
        <v>85</v>
      </c>
      <c r="R60" s="89">
        <v>0.85</v>
      </c>
      <c r="S60" s="89">
        <v>0.85</v>
      </c>
      <c r="T60" s="89">
        <v>0.7</v>
      </c>
      <c r="U60" s="89">
        <v>0.85</v>
      </c>
      <c r="V60" s="174">
        <v>0.7</v>
      </c>
      <c r="W60" s="89">
        <v>0.85</v>
      </c>
      <c r="X60" s="89">
        <v>0.95</v>
      </c>
      <c r="Y60" s="181">
        <v>1</v>
      </c>
      <c r="Z60" s="181">
        <v>0.9</v>
      </c>
      <c r="AA60" s="181">
        <v>0.85</v>
      </c>
    </row>
    <row r="61" spans="15:27" ht="12.75">
      <c r="O61" s="87" t="s">
        <v>91</v>
      </c>
      <c r="P61" s="88">
        <v>100</v>
      </c>
      <c r="Q61" s="88">
        <v>85</v>
      </c>
      <c r="R61" s="89">
        <v>0.9</v>
      </c>
      <c r="S61" s="89">
        <v>0.85</v>
      </c>
      <c r="T61" s="89">
        <v>0.7</v>
      </c>
      <c r="U61" s="89">
        <v>0.85</v>
      </c>
      <c r="V61" s="174">
        <v>0.7</v>
      </c>
      <c r="W61" s="89">
        <v>0.9</v>
      </c>
      <c r="X61" s="89">
        <v>0.95</v>
      </c>
      <c r="Y61" s="181">
        <v>1</v>
      </c>
      <c r="Z61" s="181">
        <v>0.9</v>
      </c>
      <c r="AA61" s="181">
        <v>0.85</v>
      </c>
    </row>
    <row r="62" spans="15:27" ht="12.75">
      <c r="O62" s="87" t="s">
        <v>38</v>
      </c>
      <c r="P62" s="88">
        <v>100</v>
      </c>
      <c r="Q62" s="88">
        <v>85</v>
      </c>
      <c r="R62" s="89">
        <v>0.85</v>
      </c>
      <c r="S62" s="89">
        <v>0.85</v>
      </c>
      <c r="T62" s="89">
        <v>0.7</v>
      </c>
      <c r="U62" s="89">
        <v>0.85</v>
      </c>
      <c r="V62" s="174">
        <v>0.7</v>
      </c>
      <c r="W62" s="89">
        <v>0.85</v>
      </c>
      <c r="X62" s="89">
        <v>0.95</v>
      </c>
      <c r="Y62" s="181">
        <v>1</v>
      </c>
      <c r="Z62" s="181">
        <v>0.9</v>
      </c>
      <c r="AA62" s="181">
        <v>0.85</v>
      </c>
    </row>
    <row r="63" spans="15:27" ht="12.75">
      <c r="O63" s="87" t="s">
        <v>39</v>
      </c>
      <c r="P63" s="88">
        <v>100</v>
      </c>
      <c r="Q63" s="88">
        <v>85</v>
      </c>
      <c r="R63" s="89">
        <v>1</v>
      </c>
      <c r="S63" s="174">
        <v>0.95</v>
      </c>
      <c r="T63" s="89">
        <v>0.9</v>
      </c>
      <c r="U63" s="89">
        <v>0.95</v>
      </c>
      <c r="V63" s="174">
        <v>0.95</v>
      </c>
      <c r="W63" s="89">
        <v>1</v>
      </c>
      <c r="X63" s="89">
        <v>0.95</v>
      </c>
      <c r="Y63" s="181">
        <v>1</v>
      </c>
      <c r="Z63" s="181">
        <v>0.9</v>
      </c>
      <c r="AA63" s="181">
        <v>0.85</v>
      </c>
    </row>
    <row r="64" spans="15:27" ht="12.75">
      <c r="O64" s="87" t="s">
        <v>40</v>
      </c>
      <c r="P64" s="88">
        <v>100</v>
      </c>
      <c r="Q64" s="88">
        <v>85</v>
      </c>
      <c r="R64" s="89">
        <v>0.85</v>
      </c>
      <c r="S64" s="89">
        <v>0.85</v>
      </c>
      <c r="T64" s="89">
        <v>0.7</v>
      </c>
      <c r="U64" s="89">
        <v>0.85</v>
      </c>
      <c r="V64" s="174">
        <v>0.7</v>
      </c>
      <c r="W64" s="89">
        <v>0.85</v>
      </c>
      <c r="X64" s="89">
        <v>0.95</v>
      </c>
      <c r="Y64" s="181">
        <v>1</v>
      </c>
      <c r="Z64" s="181">
        <v>0.9</v>
      </c>
      <c r="AA64" s="181">
        <v>0.85</v>
      </c>
    </row>
    <row r="65" spans="15:27" ht="12.75">
      <c r="O65" s="87" t="s">
        <v>41</v>
      </c>
      <c r="P65" s="88">
        <v>100</v>
      </c>
      <c r="Q65" s="88">
        <v>85</v>
      </c>
      <c r="R65" s="89">
        <v>1</v>
      </c>
      <c r="S65" s="174">
        <v>0.95</v>
      </c>
      <c r="T65" s="89">
        <v>0.9</v>
      </c>
      <c r="U65" s="89">
        <v>0.95</v>
      </c>
      <c r="V65" s="174">
        <v>0.95</v>
      </c>
      <c r="W65" s="89">
        <v>1</v>
      </c>
      <c r="X65" s="89">
        <v>0.95</v>
      </c>
      <c r="Y65" s="181">
        <v>1</v>
      </c>
      <c r="Z65" s="181">
        <v>0.9</v>
      </c>
      <c r="AA65" s="181">
        <v>0.85</v>
      </c>
    </row>
    <row r="66" spans="15:27" ht="12.75">
      <c r="O66" s="87" t="s">
        <v>92</v>
      </c>
      <c r="P66" s="88">
        <v>100</v>
      </c>
      <c r="Q66" s="88">
        <v>85</v>
      </c>
      <c r="R66" s="89">
        <v>0.85</v>
      </c>
      <c r="S66" s="89">
        <v>0.85</v>
      </c>
      <c r="T66" s="89">
        <v>0.7</v>
      </c>
      <c r="U66" s="89">
        <v>0.85</v>
      </c>
      <c r="V66" s="174">
        <v>0.7</v>
      </c>
      <c r="W66" s="89">
        <v>0.85</v>
      </c>
      <c r="X66" s="89">
        <v>0.95</v>
      </c>
      <c r="Y66" s="181">
        <v>1</v>
      </c>
      <c r="Z66" s="181">
        <v>0.9</v>
      </c>
      <c r="AA66" s="181">
        <v>0.85</v>
      </c>
    </row>
    <row r="67" spans="15:27" ht="12.75">
      <c r="O67" s="87" t="s">
        <v>93</v>
      </c>
      <c r="P67" s="88">
        <v>100</v>
      </c>
      <c r="Q67" s="88">
        <v>85</v>
      </c>
      <c r="R67" s="89">
        <v>0.9</v>
      </c>
      <c r="S67" s="89">
        <v>0.85</v>
      </c>
      <c r="T67" s="89">
        <v>0.7</v>
      </c>
      <c r="U67" s="89">
        <v>0.85</v>
      </c>
      <c r="V67" s="174">
        <v>0.7</v>
      </c>
      <c r="W67" s="89">
        <v>0.9</v>
      </c>
      <c r="X67" s="89">
        <v>0.95</v>
      </c>
      <c r="Y67" s="181">
        <v>1</v>
      </c>
      <c r="Z67" s="181">
        <v>0.9</v>
      </c>
      <c r="AA67" s="181">
        <v>0.85</v>
      </c>
    </row>
    <row r="68" spans="15:27" ht="12.75">
      <c r="O68" s="87" t="s">
        <v>94</v>
      </c>
      <c r="P68" s="88">
        <v>100</v>
      </c>
      <c r="Q68" s="88">
        <v>85</v>
      </c>
      <c r="R68" s="89">
        <v>0.85</v>
      </c>
      <c r="S68" s="89">
        <v>0.85</v>
      </c>
      <c r="T68" s="89">
        <v>0.7</v>
      </c>
      <c r="U68" s="89">
        <v>0.85</v>
      </c>
      <c r="V68" s="174">
        <v>0.7</v>
      </c>
      <c r="W68" s="89">
        <v>0.85</v>
      </c>
      <c r="X68" s="89">
        <v>0.95</v>
      </c>
      <c r="Y68" s="181">
        <v>1</v>
      </c>
      <c r="Z68" s="181">
        <v>0.9</v>
      </c>
      <c r="AA68" s="181">
        <v>0.85</v>
      </c>
    </row>
    <row r="69" spans="15:27" ht="12.75">
      <c r="O69" s="87" t="s">
        <v>95</v>
      </c>
      <c r="P69" s="88">
        <v>100</v>
      </c>
      <c r="Q69" s="88">
        <v>85</v>
      </c>
      <c r="R69" s="89">
        <v>0.9</v>
      </c>
      <c r="S69" s="89">
        <v>0.85</v>
      </c>
      <c r="T69" s="89">
        <v>0.7</v>
      </c>
      <c r="U69" s="89">
        <v>0.85</v>
      </c>
      <c r="V69" s="174">
        <v>0.7</v>
      </c>
      <c r="W69" s="89">
        <v>0.9</v>
      </c>
      <c r="X69" s="89">
        <v>0.95</v>
      </c>
      <c r="Y69" s="181">
        <v>1</v>
      </c>
      <c r="Z69" s="181">
        <v>0.9</v>
      </c>
      <c r="AA69" s="181">
        <v>0.85</v>
      </c>
    </row>
    <row r="70" spans="15:27" ht="12.75">
      <c r="O70" s="87" t="s">
        <v>140</v>
      </c>
      <c r="P70" s="88">
        <v>120</v>
      </c>
      <c r="Q70" s="88">
        <v>100</v>
      </c>
      <c r="R70" s="89">
        <v>0.85</v>
      </c>
      <c r="S70" s="89">
        <v>0.85</v>
      </c>
      <c r="T70" s="89">
        <v>0.7</v>
      </c>
      <c r="U70" s="89">
        <v>0.85</v>
      </c>
      <c r="V70" s="174">
        <v>0.7</v>
      </c>
      <c r="W70" s="89">
        <v>0.85</v>
      </c>
      <c r="X70" s="89">
        <v>0.95</v>
      </c>
      <c r="Y70" s="181">
        <v>1</v>
      </c>
      <c r="Z70" s="181">
        <v>0.9</v>
      </c>
      <c r="AA70" s="181">
        <v>0.85</v>
      </c>
    </row>
    <row r="71" spans="15:27" ht="12.75">
      <c r="O71" s="87" t="s">
        <v>96</v>
      </c>
      <c r="P71" s="88">
        <v>100</v>
      </c>
      <c r="Q71" s="88">
        <v>85</v>
      </c>
      <c r="R71" s="89">
        <v>0.85</v>
      </c>
      <c r="S71" s="89">
        <v>0.85</v>
      </c>
      <c r="T71" s="89">
        <v>0.7</v>
      </c>
      <c r="U71" s="89">
        <v>0.85</v>
      </c>
      <c r="V71" s="174">
        <v>0.7</v>
      </c>
      <c r="W71" s="89">
        <v>0.85</v>
      </c>
      <c r="X71" s="89">
        <v>0.95</v>
      </c>
      <c r="Y71" s="181">
        <v>1</v>
      </c>
      <c r="Z71" s="181">
        <v>0.9</v>
      </c>
      <c r="AA71" s="181">
        <v>0.85</v>
      </c>
    </row>
    <row r="72" spans="15:27" ht="12.75">
      <c r="O72" s="87" t="s">
        <v>97</v>
      </c>
      <c r="P72" s="88">
        <v>100</v>
      </c>
      <c r="Q72" s="88">
        <v>85</v>
      </c>
      <c r="R72" s="89">
        <v>0.9</v>
      </c>
      <c r="S72" s="89">
        <v>0.85</v>
      </c>
      <c r="T72" s="89">
        <v>0.7</v>
      </c>
      <c r="U72" s="89">
        <v>0.85</v>
      </c>
      <c r="V72" s="174">
        <v>0.7</v>
      </c>
      <c r="W72" s="89">
        <v>0.9</v>
      </c>
      <c r="X72" s="89">
        <v>0.95</v>
      </c>
      <c r="Y72" s="181">
        <v>1</v>
      </c>
      <c r="Z72" s="181">
        <v>0.9</v>
      </c>
      <c r="AA72" s="181">
        <v>0.85</v>
      </c>
    </row>
    <row r="73" spans="15:27" ht="12.75">
      <c r="O73" s="87" t="s">
        <v>126</v>
      </c>
      <c r="P73" s="88">
        <v>100</v>
      </c>
      <c r="Q73" s="88">
        <v>85</v>
      </c>
      <c r="R73" s="89">
        <v>0.85</v>
      </c>
      <c r="S73" s="89">
        <v>0.85</v>
      </c>
      <c r="T73" s="89">
        <v>0.7</v>
      </c>
      <c r="U73" s="89">
        <v>0.85</v>
      </c>
      <c r="V73" s="174">
        <v>0.7</v>
      </c>
      <c r="W73" s="89">
        <v>0.85</v>
      </c>
      <c r="X73" s="89">
        <v>0.95</v>
      </c>
      <c r="Y73" s="181">
        <v>1</v>
      </c>
      <c r="Z73" s="181">
        <v>0.9</v>
      </c>
      <c r="AA73" s="181">
        <v>0.85</v>
      </c>
    </row>
    <row r="74" spans="15:27" ht="12.75">
      <c r="O74" s="87" t="s">
        <v>98</v>
      </c>
      <c r="P74" s="88">
        <v>100</v>
      </c>
      <c r="Q74" s="88">
        <v>85</v>
      </c>
      <c r="R74" s="89">
        <v>0.9</v>
      </c>
      <c r="S74" s="89">
        <v>0.85</v>
      </c>
      <c r="T74" s="89">
        <v>0.7</v>
      </c>
      <c r="U74" s="89">
        <v>0.85</v>
      </c>
      <c r="V74" s="174">
        <v>0.7</v>
      </c>
      <c r="W74" s="89">
        <v>0.9</v>
      </c>
      <c r="X74" s="89">
        <v>0.95</v>
      </c>
      <c r="Y74" s="181">
        <v>1</v>
      </c>
      <c r="Z74" s="181">
        <v>0.9</v>
      </c>
      <c r="AA74" s="181">
        <v>0.85</v>
      </c>
    </row>
    <row r="75" spans="15:27" ht="12.75">
      <c r="O75" s="87" t="s">
        <v>99</v>
      </c>
      <c r="P75" s="88">
        <v>120</v>
      </c>
      <c r="Q75" s="88">
        <v>100</v>
      </c>
      <c r="R75" s="89">
        <v>0.85</v>
      </c>
      <c r="S75" s="89">
        <v>0.85</v>
      </c>
      <c r="T75" s="89">
        <v>0.7</v>
      </c>
      <c r="U75" s="89">
        <v>0.85</v>
      </c>
      <c r="V75" s="174">
        <v>0.7</v>
      </c>
      <c r="W75" s="89">
        <v>0.85</v>
      </c>
      <c r="X75" s="89">
        <v>0.95</v>
      </c>
      <c r="Y75" s="181">
        <v>1</v>
      </c>
      <c r="Z75" s="181">
        <v>0.9</v>
      </c>
      <c r="AA75" s="181">
        <v>0.85</v>
      </c>
    </row>
    <row r="76" spans="15:27" ht="12.75">
      <c r="O76" s="87" t="s">
        <v>100</v>
      </c>
      <c r="P76" s="88">
        <v>120</v>
      </c>
      <c r="Q76" s="88">
        <v>100</v>
      </c>
      <c r="R76" s="89">
        <v>0.9</v>
      </c>
      <c r="S76" s="89">
        <v>0.85</v>
      </c>
      <c r="T76" s="89">
        <v>0.7</v>
      </c>
      <c r="U76" s="89">
        <v>0.85</v>
      </c>
      <c r="V76" s="174">
        <v>0.7</v>
      </c>
      <c r="W76" s="89">
        <v>0.9</v>
      </c>
      <c r="X76" s="89">
        <v>0.95</v>
      </c>
      <c r="Y76" s="181">
        <v>1</v>
      </c>
      <c r="Z76" s="181">
        <v>0.9</v>
      </c>
      <c r="AA76" s="181">
        <v>0.85</v>
      </c>
    </row>
    <row r="77" spans="15:27" ht="12.75">
      <c r="O77" s="87" t="s">
        <v>54</v>
      </c>
      <c r="P77" s="88">
        <v>100</v>
      </c>
      <c r="Q77" s="88">
        <v>85</v>
      </c>
      <c r="R77" s="89">
        <v>0.85</v>
      </c>
      <c r="S77" s="89">
        <v>0.85</v>
      </c>
      <c r="T77" s="89">
        <v>0.7</v>
      </c>
      <c r="U77" s="89">
        <v>0.85</v>
      </c>
      <c r="V77" s="174">
        <v>0.7</v>
      </c>
      <c r="W77" s="89">
        <v>0.85</v>
      </c>
      <c r="X77" s="89">
        <v>0.95</v>
      </c>
      <c r="Y77" s="181">
        <v>1</v>
      </c>
      <c r="Z77" s="181">
        <v>0.9</v>
      </c>
      <c r="AA77" s="181">
        <v>0.85</v>
      </c>
    </row>
    <row r="78" spans="15:27" ht="12.75">
      <c r="O78" s="87" t="s">
        <v>42</v>
      </c>
      <c r="P78" s="88">
        <v>100</v>
      </c>
      <c r="Q78" s="88">
        <v>85</v>
      </c>
      <c r="R78" s="89">
        <v>1</v>
      </c>
      <c r="S78" s="174">
        <v>0.95</v>
      </c>
      <c r="T78" s="89">
        <v>0.9</v>
      </c>
      <c r="U78" s="89">
        <v>0.95</v>
      </c>
      <c r="V78" s="174">
        <v>0.95</v>
      </c>
      <c r="W78" s="89">
        <v>1</v>
      </c>
      <c r="X78" s="89">
        <v>0.95</v>
      </c>
      <c r="Y78" s="181">
        <v>1</v>
      </c>
      <c r="Z78" s="181">
        <v>0.9</v>
      </c>
      <c r="AA78" s="181">
        <v>0.85</v>
      </c>
    </row>
    <row r="79" spans="15:27" ht="12.75">
      <c r="O79" s="87" t="s">
        <v>43</v>
      </c>
      <c r="P79" s="88">
        <v>100</v>
      </c>
      <c r="Q79" s="88">
        <v>85</v>
      </c>
      <c r="R79" s="89">
        <v>0.85</v>
      </c>
      <c r="S79" s="89">
        <v>0.85</v>
      </c>
      <c r="T79" s="89">
        <v>0.7</v>
      </c>
      <c r="U79" s="89">
        <v>0.85</v>
      </c>
      <c r="V79" s="174">
        <v>0.7</v>
      </c>
      <c r="W79" s="89">
        <v>0.85</v>
      </c>
      <c r="X79" s="89">
        <v>0.95</v>
      </c>
      <c r="Y79" s="181">
        <v>1</v>
      </c>
      <c r="Z79" s="181">
        <v>0.9</v>
      </c>
      <c r="AA79" s="181">
        <v>0.85</v>
      </c>
    </row>
    <row r="80" spans="15:27" ht="12.75">
      <c r="O80" s="87" t="s">
        <v>44</v>
      </c>
      <c r="P80" s="88">
        <v>100</v>
      </c>
      <c r="Q80" s="88">
        <v>85</v>
      </c>
      <c r="R80" s="89">
        <v>0.95</v>
      </c>
      <c r="S80" s="174">
        <v>0.95</v>
      </c>
      <c r="T80" s="89">
        <v>0.9</v>
      </c>
      <c r="U80" s="89">
        <v>0.95</v>
      </c>
      <c r="V80" s="174">
        <v>0.95</v>
      </c>
      <c r="W80" s="89">
        <v>0.95</v>
      </c>
      <c r="X80" s="89">
        <v>0.95</v>
      </c>
      <c r="Y80" s="181">
        <v>1</v>
      </c>
      <c r="Z80" s="181">
        <v>0.9</v>
      </c>
      <c r="AA80" s="181">
        <v>0.85</v>
      </c>
    </row>
    <row r="81" spans="15:27" ht="12.75">
      <c r="O81" s="87" t="s">
        <v>101</v>
      </c>
      <c r="P81" s="88">
        <v>100</v>
      </c>
      <c r="Q81" s="88">
        <v>85</v>
      </c>
      <c r="R81" s="89">
        <v>0.85</v>
      </c>
      <c r="S81" s="89">
        <v>0.85</v>
      </c>
      <c r="T81" s="89">
        <v>0.7</v>
      </c>
      <c r="U81" s="89">
        <v>0.85</v>
      </c>
      <c r="V81" s="174">
        <v>0.7</v>
      </c>
      <c r="W81" s="89">
        <v>0.85</v>
      </c>
      <c r="X81" s="89">
        <v>0.95</v>
      </c>
      <c r="Y81" s="181">
        <v>1</v>
      </c>
      <c r="Z81" s="181">
        <v>0.9</v>
      </c>
      <c r="AA81" s="181">
        <v>0.85</v>
      </c>
    </row>
    <row r="82" spans="15:27" ht="12.75">
      <c r="O82" s="87" t="s">
        <v>45</v>
      </c>
      <c r="P82" s="88">
        <v>100</v>
      </c>
      <c r="Q82" s="88">
        <v>85</v>
      </c>
      <c r="R82" s="89">
        <v>1</v>
      </c>
      <c r="S82" s="174">
        <v>0.95</v>
      </c>
      <c r="T82" s="89">
        <v>0.9</v>
      </c>
      <c r="U82" s="89">
        <v>0.95</v>
      </c>
      <c r="V82" s="174">
        <v>0.95</v>
      </c>
      <c r="W82" s="89">
        <v>1</v>
      </c>
      <c r="X82" s="89">
        <v>0.95</v>
      </c>
      <c r="Y82" s="181">
        <v>1</v>
      </c>
      <c r="Z82" s="181">
        <v>0.9</v>
      </c>
      <c r="AA82" s="181">
        <v>0.85</v>
      </c>
    </row>
    <row r="83" spans="15:27" ht="12.75">
      <c r="O83" s="87" t="s">
        <v>102</v>
      </c>
      <c r="P83" s="88">
        <v>100</v>
      </c>
      <c r="Q83" s="88">
        <v>85</v>
      </c>
      <c r="R83" s="89">
        <v>0.9</v>
      </c>
      <c r="S83" s="89">
        <v>0.85</v>
      </c>
      <c r="T83" s="89">
        <v>0.7</v>
      </c>
      <c r="U83" s="89">
        <v>0.85</v>
      </c>
      <c r="V83" s="174">
        <v>0.7</v>
      </c>
      <c r="W83" s="89">
        <v>0.9</v>
      </c>
      <c r="X83" s="89">
        <v>0.95</v>
      </c>
      <c r="Y83" s="181">
        <v>1</v>
      </c>
      <c r="Z83" s="181">
        <v>0.9</v>
      </c>
      <c r="AA83" s="181">
        <v>0.85</v>
      </c>
    </row>
    <row r="84" spans="15:27" ht="12.75">
      <c r="O84" s="87" t="s">
        <v>138</v>
      </c>
      <c r="P84" s="88">
        <v>100</v>
      </c>
      <c r="Q84" s="88">
        <v>85</v>
      </c>
      <c r="R84" s="89">
        <v>0.85</v>
      </c>
      <c r="S84" s="89">
        <v>0.85</v>
      </c>
      <c r="T84" s="89">
        <v>0.7</v>
      </c>
      <c r="U84" s="89">
        <v>0.85</v>
      </c>
      <c r="V84" s="174">
        <v>0.7</v>
      </c>
      <c r="W84" s="89">
        <v>0.85</v>
      </c>
      <c r="X84" s="89">
        <v>0.95</v>
      </c>
      <c r="Y84" s="181">
        <v>1</v>
      </c>
      <c r="Z84" s="181">
        <v>0.9</v>
      </c>
      <c r="AA84" s="181">
        <v>0.85</v>
      </c>
    </row>
    <row r="85" spans="15:27" ht="12.75">
      <c r="O85" s="87" t="s">
        <v>46</v>
      </c>
      <c r="P85" s="88">
        <v>100</v>
      </c>
      <c r="Q85" s="88">
        <v>85</v>
      </c>
      <c r="R85" s="89">
        <v>0.85</v>
      </c>
      <c r="S85" s="89">
        <v>0.85</v>
      </c>
      <c r="T85" s="89">
        <v>0.7</v>
      </c>
      <c r="U85" s="89">
        <v>0.85</v>
      </c>
      <c r="V85" s="174">
        <v>0.7</v>
      </c>
      <c r="W85" s="89">
        <v>0.85</v>
      </c>
      <c r="X85" s="89">
        <v>0.95</v>
      </c>
      <c r="Y85" s="181">
        <v>1</v>
      </c>
      <c r="Z85" s="181">
        <v>0.9</v>
      </c>
      <c r="AA85" s="181">
        <v>0.85</v>
      </c>
    </row>
    <row r="86" spans="15:27" ht="12.75">
      <c r="O86" s="87" t="s">
        <v>47</v>
      </c>
      <c r="P86" s="88">
        <v>100</v>
      </c>
      <c r="Q86" s="88">
        <v>85</v>
      </c>
      <c r="R86" s="89">
        <v>1</v>
      </c>
      <c r="S86" s="174">
        <v>0.95</v>
      </c>
      <c r="T86" s="89">
        <v>0.9</v>
      </c>
      <c r="U86" s="89">
        <v>0.95</v>
      </c>
      <c r="V86" s="174">
        <v>0.95</v>
      </c>
      <c r="W86" s="89">
        <v>1</v>
      </c>
      <c r="X86" s="89">
        <v>0.95</v>
      </c>
      <c r="Y86" s="181">
        <v>1</v>
      </c>
      <c r="Z86" s="181">
        <v>0.9</v>
      </c>
      <c r="AA86" s="181">
        <v>0.85</v>
      </c>
    </row>
    <row r="87" spans="15:27" ht="12.75">
      <c r="O87" s="87" t="s">
        <v>103</v>
      </c>
      <c r="P87" s="88">
        <v>100</v>
      </c>
      <c r="Q87" s="88">
        <v>85</v>
      </c>
      <c r="R87" s="89">
        <v>0.85</v>
      </c>
      <c r="S87" s="89">
        <v>0.85</v>
      </c>
      <c r="T87" s="89">
        <v>0.7</v>
      </c>
      <c r="U87" s="89">
        <v>0.85</v>
      </c>
      <c r="V87" s="174">
        <v>0.7</v>
      </c>
      <c r="W87" s="89">
        <v>0.85</v>
      </c>
      <c r="X87" s="89">
        <v>0.95</v>
      </c>
      <c r="Y87" s="181">
        <v>1</v>
      </c>
      <c r="Z87" s="181">
        <v>0.9</v>
      </c>
      <c r="AA87" s="181">
        <v>0.85</v>
      </c>
    </row>
    <row r="88" spans="15:27" ht="12.75">
      <c r="O88" s="87" t="s">
        <v>104</v>
      </c>
      <c r="P88" s="88">
        <v>100</v>
      </c>
      <c r="Q88" s="88">
        <v>85</v>
      </c>
      <c r="R88" s="89">
        <v>0.9</v>
      </c>
      <c r="S88" s="89">
        <v>0.85</v>
      </c>
      <c r="T88" s="89">
        <v>0.7</v>
      </c>
      <c r="U88" s="89">
        <v>0.85</v>
      </c>
      <c r="V88" s="174">
        <v>0.7</v>
      </c>
      <c r="W88" s="89">
        <v>0.9</v>
      </c>
      <c r="X88" s="89">
        <v>0.95</v>
      </c>
      <c r="Y88" s="181">
        <v>1</v>
      </c>
      <c r="Z88" s="181">
        <v>0.9</v>
      </c>
      <c r="AA88" s="181">
        <v>0.85</v>
      </c>
    </row>
    <row r="89" spans="15:27" ht="12.75">
      <c r="O89" s="87" t="s">
        <v>105</v>
      </c>
      <c r="P89" s="88">
        <v>100</v>
      </c>
      <c r="Q89" s="88">
        <v>85</v>
      </c>
      <c r="R89" s="89">
        <v>0.85</v>
      </c>
      <c r="S89" s="89">
        <v>0.85</v>
      </c>
      <c r="T89" s="89">
        <v>0.7</v>
      </c>
      <c r="U89" s="89">
        <v>0.85</v>
      </c>
      <c r="V89" s="174">
        <v>0.7</v>
      </c>
      <c r="W89" s="89">
        <v>0.85</v>
      </c>
      <c r="X89" s="89">
        <v>0.95</v>
      </c>
      <c r="Y89" s="181">
        <v>1</v>
      </c>
      <c r="Z89" s="181">
        <v>0.9</v>
      </c>
      <c r="AA89" s="181">
        <v>0.85</v>
      </c>
    </row>
    <row r="90" spans="15:27" ht="12.75">
      <c r="O90" s="87" t="s">
        <v>106</v>
      </c>
      <c r="P90" s="88">
        <v>100</v>
      </c>
      <c r="Q90" s="88">
        <v>85</v>
      </c>
      <c r="R90" s="89">
        <v>0.9</v>
      </c>
      <c r="S90" s="89">
        <v>0.85</v>
      </c>
      <c r="T90" s="89">
        <v>0.7</v>
      </c>
      <c r="U90" s="89">
        <v>0.85</v>
      </c>
      <c r="V90" s="174">
        <v>0.7</v>
      </c>
      <c r="W90" s="89">
        <v>0.9</v>
      </c>
      <c r="X90" s="89">
        <v>0.95</v>
      </c>
      <c r="Y90" s="181">
        <v>1</v>
      </c>
      <c r="Z90" s="181">
        <v>0.9</v>
      </c>
      <c r="AA90" s="181">
        <v>0.85</v>
      </c>
    </row>
    <row r="91" spans="15:27" ht="12.75">
      <c r="O91" s="87" t="s">
        <v>107</v>
      </c>
      <c r="P91" s="88">
        <v>100</v>
      </c>
      <c r="Q91" s="88">
        <v>85</v>
      </c>
      <c r="R91" s="89">
        <v>0.9</v>
      </c>
      <c r="S91" s="89">
        <v>0.85</v>
      </c>
      <c r="T91" s="89">
        <v>0.7</v>
      </c>
      <c r="U91" s="89">
        <v>0.85</v>
      </c>
      <c r="V91" s="174">
        <v>0.7</v>
      </c>
      <c r="W91" s="89">
        <v>0.9</v>
      </c>
      <c r="X91" s="89">
        <v>0.95</v>
      </c>
      <c r="Y91" s="181">
        <v>1</v>
      </c>
      <c r="Z91" s="181">
        <v>0.9</v>
      </c>
      <c r="AA91" s="181">
        <v>0.85</v>
      </c>
    </row>
    <row r="92" spans="15:27" ht="12.75">
      <c r="O92" s="87" t="s">
        <v>67</v>
      </c>
      <c r="P92" s="88">
        <v>100</v>
      </c>
      <c r="Q92" s="88">
        <v>85</v>
      </c>
      <c r="R92" s="89">
        <v>0.85</v>
      </c>
      <c r="S92" s="89">
        <v>0.85</v>
      </c>
      <c r="T92" s="89">
        <v>0.7</v>
      </c>
      <c r="U92" s="89">
        <v>0.85</v>
      </c>
      <c r="V92" s="174">
        <v>0.7</v>
      </c>
      <c r="W92" s="89">
        <v>0.85</v>
      </c>
      <c r="X92" s="89">
        <v>0.95</v>
      </c>
      <c r="Y92" s="181">
        <v>1</v>
      </c>
      <c r="Z92" s="181">
        <v>0.9</v>
      </c>
      <c r="AA92" s="181">
        <v>0.85</v>
      </c>
    </row>
    <row r="93" spans="15:27" ht="12.75">
      <c r="O93" s="87" t="s">
        <v>108</v>
      </c>
      <c r="P93" s="88">
        <v>100</v>
      </c>
      <c r="Q93" s="88">
        <v>85</v>
      </c>
      <c r="R93" s="89">
        <v>0.85</v>
      </c>
      <c r="S93" s="89">
        <v>0.85</v>
      </c>
      <c r="T93" s="89">
        <v>0.7</v>
      </c>
      <c r="U93" s="89">
        <v>0.85</v>
      </c>
      <c r="V93" s="174">
        <v>0.7</v>
      </c>
      <c r="W93" s="89">
        <v>0.85</v>
      </c>
      <c r="X93" s="89">
        <v>0.95</v>
      </c>
      <c r="Y93" s="181">
        <v>1</v>
      </c>
      <c r="Z93" s="181">
        <v>0.9</v>
      </c>
      <c r="AA93" s="181">
        <v>0.85</v>
      </c>
    </row>
    <row r="94" spans="15:27" ht="12.75">
      <c r="O94" s="87" t="s">
        <v>109</v>
      </c>
      <c r="P94" s="88">
        <v>100</v>
      </c>
      <c r="Q94" s="88">
        <v>85</v>
      </c>
      <c r="R94" s="89">
        <v>0.9</v>
      </c>
      <c r="S94" s="89">
        <v>0.85</v>
      </c>
      <c r="T94" s="89">
        <v>0.7</v>
      </c>
      <c r="U94" s="89">
        <v>0.85</v>
      </c>
      <c r="V94" s="174">
        <v>0.7</v>
      </c>
      <c r="W94" s="89">
        <v>0.9</v>
      </c>
      <c r="X94" s="89">
        <v>0.95</v>
      </c>
      <c r="Y94" s="181">
        <v>1</v>
      </c>
      <c r="Z94" s="181">
        <v>0.9</v>
      </c>
      <c r="AA94" s="181">
        <v>0.85</v>
      </c>
    </row>
    <row r="95" spans="15:27" ht="12.75">
      <c r="O95" s="87" t="s">
        <v>48</v>
      </c>
      <c r="P95" s="88">
        <v>100</v>
      </c>
      <c r="Q95" s="88">
        <v>85</v>
      </c>
      <c r="R95" s="89">
        <v>0.85</v>
      </c>
      <c r="S95" s="89">
        <v>0.85</v>
      </c>
      <c r="T95" s="89">
        <v>0.7</v>
      </c>
      <c r="U95" s="89">
        <v>0.85</v>
      </c>
      <c r="V95" s="174">
        <v>0.7</v>
      </c>
      <c r="W95" s="89">
        <v>0.85</v>
      </c>
      <c r="X95" s="89">
        <v>0.95</v>
      </c>
      <c r="Y95" s="181">
        <v>1</v>
      </c>
      <c r="Z95" s="181">
        <v>0.9</v>
      </c>
      <c r="AA95" s="181">
        <v>0.85</v>
      </c>
    </row>
    <row r="96" spans="15:27" ht="12.75">
      <c r="O96" s="87" t="s">
        <v>49</v>
      </c>
      <c r="P96" s="88">
        <v>100</v>
      </c>
      <c r="Q96" s="88">
        <v>85</v>
      </c>
      <c r="R96" s="89">
        <v>0.95</v>
      </c>
      <c r="S96" s="174">
        <v>0.95</v>
      </c>
      <c r="T96" s="89">
        <v>0.9</v>
      </c>
      <c r="U96" s="89">
        <v>0.95</v>
      </c>
      <c r="V96" s="174">
        <v>0.95</v>
      </c>
      <c r="W96" s="89">
        <v>0.95</v>
      </c>
      <c r="X96" s="89">
        <v>0.95</v>
      </c>
      <c r="Y96" s="181">
        <v>1</v>
      </c>
      <c r="Z96" s="181">
        <v>0.9</v>
      </c>
      <c r="AA96" s="181">
        <v>0.85</v>
      </c>
    </row>
    <row r="97" spans="15:27" ht="12.75">
      <c r="O97" s="87" t="s">
        <v>110</v>
      </c>
      <c r="P97" s="88">
        <v>100</v>
      </c>
      <c r="Q97" s="88">
        <v>85</v>
      </c>
      <c r="R97" s="89">
        <v>0.85</v>
      </c>
      <c r="S97" s="89">
        <v>0.85</v>
      </c>
      <c r="T97" s="89">
        <v>0.7</v>
      </c>
      <c r="U97" s="89">
        <v>0.85</v>
      </c>
      <c r="V97" s="174">
        <v>0.7</v>
      </c>
      <c r="W97" s="89">
        <v>0.85</v>
      </c>
      <c r="X97" s="89">
        <v>0.95</v>
      </c>
      <c r="Y97" s="181">
        <v>1</v>
      </c>
      <c r="Z97" s="181">
        <v>0.9</v>
      </c>
      <c r="AA97" s="181">
        <v>0.85</v>
      </c>
    </row>
    <row r="98" spans="15:27" ht="12.75">
      <c r="O98" s="87" t="s">
        <v>111</v>
      </c>
      <c r="P98" s="88">
        <v>100</v>
      </c>
      <c r="Q98" s="88">
        <v>85</v>
      </c>
      <c r="R98" s="89">
        <v>0.9</v>
      </c>
      <c r="S98" s="89">
        <v>0.85</v>
      </c>
      <c r="T98" s="89">
        <v>0.7</v>
      </c>
      <c r="U98" s="89">
        <v>0.85</v>
      </c>
      <c r="V98" s="174">
        <v>0.7</v>
      </c>
      <c r="W98" s="89">
        <v>0.9</v>
      </c>
      <c r="X98" s="89">
        <v>0.95</v>
      </c>
      <c r="Y98" s="181">
        <v>1</v>
      </c>
      <c r="Z98" s="181">
        <v>0.9</v>
      </c>
      <c r="AA98" s="181">
        <v>0.85</v>
      </c>
    </row>
    <row r="99" spans="15:27" ht="12.75">
      <c r="O99" s="87" t="s">
        <v>50</v>
      </c>
      <c r="P99" s="88">
        <v>120</v>
      </c>
      <c r="Q99" s="88">
        <v>100</v>
      </c>
      <c r="R99" s="89">
        <v>0.85</v>
      </c>
      <c r="S99" s="89">
        <v>0.85</v>
      </c>
      <c r="T99" s="89">
        <v>0.7</v>
      </c>
      <c r="U99" s="89">
        <v>0.85</v>
      </c>
      <c r="V99" s="174">
        <v>0.7</v>
      </c>
      <c r="W99" s="89">
        <v>0.85</v>
      </c>
      <c r="X99" s="89">
        <v>0.95</v>
      </c>
      <c r="Y99" s="181">
        <v>1</v>
      </c>
      <c r="Z99" s="181">
        <v>0.9</v>
      </c>
      <c r="AA99" s="181">
        <v>0.85</v>
      </c>
    </row>
    <row r="100" spans="15:27" ht="12.75">
      <c r="O100" s="87" t="s">
        <v>51</v>
      </c>
      <c r="P100" s="88">
        <v>120</v>
      </c>
      <c r="Q100" s="88">
        <v>100</v>
      </c>
      <c r="R100" s="89">
        <v>0.95</v>
      </c>
      <c r="S100" s="174">
        <v>0.95</v>
      </c>
      <c r="T100" s="89">
        <v>0.9</v>
      </c>
      <c r="U100" s="89">
        <v>0.95</v>
      </c>
      <c r="V100" s="174">
        <v>0.95</v>
      </c>
      <c r="W100" s="89">
        <v>0.95</v>
      </c>
      <c r="X100" s="89">
        <v>0.95</v>
      </c>
      <c r="Y100" s="181">
        <v>1</v>
      </c>
      <c r="Z100" s="181">
        <v>0.9</v>
      </c>
      <c r="AA100" s="181">
        <v>0.85</v>
      </c>
    </row>
    <row r="101" spans="15:27" ht="12.75">
      <c r="O101" s="87" t="s">
        <v>112</v>
      </c>
      <c r="P101" s="88">
        <v>100</v>
      </c>
      <c r="Q101" s="88">
        <v>85</v>
      </c>
      <c r="R101" s="89">
        <v>0.85</v>
      </c>
      <c r="S101" s="89">
        <v>0.85</v>
      </c>
      <c r="T101" s="89">
        <v>0.7</v>
      </c>
      <c r="U101" s="89">
        <v>0.85</v>
      </c>
      <c r="V101" s="174">
        <v>0.7</v>
      </c>
      <c r="W101" s="89">
        <v>0.85</v>
      </c>
      <c r="X101" s="89">
        <v>0.95</v>
      </c>
      <c r="Y101" s="181">
        <v>1</v>
      </c>
      <c r="Z101" s="181">
        <v>0.9</v>
      </c>
      <c r="AA101" s="181">
        <v>0.85</v>
      </c>
    </row>
    <row r="102" spans="15:27" ht="12.75">
      <c r="O102" s="87" t="s">
        <v>113</v>
      </c>
      <c r="P102" s="88">
        <v>100</v>
      </c>
      <c r="Q102" s="88">
        <v>85</v>
      </c>
      <c r="R102" s="89">
        <v>0.9</v>
      </c>
      <c r="S102" s="89">
        <v>0.85</v>
      </c>
      <c r="T102" s="89">
        <v>0.7</v>
      </c>
      <c r="U102" s="89">
        <v>0.85</v>
      </c>
      <c r="V102" s="174">
        <v>0.7</v>
      </c>
      <c r="W102" s="89">
        <v>0.9</v>
      </c>
      <c r="X102" s="89">
        <v>0.95</v>
      </c>
      <c r="Y102" s="181">
        <v>1</v>
      </c>
      <c r="Z102" s="181">
        <v>0.9</v>
      </c>
      <c r="AA102" s="181">
        <v>0.85</v>
      </c>
    </row>
    <row r="103" spans="15:27" ht="12.75">
      <c r="O103" s="87" t="s">
        <v>139</v>
      </c>
      <c r="P103" s="88">
        <v>100</v>
      </c>
      <c r="Q103" s="88">
        <v>85</v>
      </c>
      <c r="R103" s="89">
        <v>0.85</v>
      </c>
      <c r="S103" s="89">
        <v>0.85</v>
      </c>
      <c r="T103" s="89">
        <v>0.7</v>
      </c>
      <c r="U103" s="89">
        <v>0.85</v>
      </c>
      <c r="V103" s="174">
        <v>0.7</v>
      </c>
      <c r="W103" s="89">
        <v>0.85</v>
      </c>
      <c r="X103" s="89">
        <v>0.95</v>
      </c>
      <c r="Y103" s="181">
        <v>1</v>
      </c>
      <c r="Z103" s="181">
        <v>0.9</v>
      </c>
      <c r="AA103" s="181">
        <v>0.85</v>
      </c>
    </row>
    <row r="104" spans="15:27" ht="12.75">
      <c r="O104" s="87" t="s">
        <v>114</v>
      </c>
      <c r="P104" s="88">
        <v>100</v>
      </c>
      <c r="Q104" s="88">
        <v>85</v>
      </c>
      <c r="R104" s="89">
        <v>0.85</v>
      </c>
      <c r="S104" s="89">
        <v>0.85</v>
      </c>
      <c r="T104" s="89">
        <v>0.7</v>
      </c>
      <c r="U104" s="89">
        <v>0.85</v>
      </c>
      <c r="V104" s="174">
        <v>0.7</v>
      </c>
      <c r="W104" s="89">
        <v>0.85</v>
      </c>
      <c r="X104" s="89">
        <v>0.95</v>
      </c>
      <c r="Y104" s="181">
        <v>1</v>
      </c>
      <c r="Z104" s="181">
        <v>0.9</v>
      </c>
      <c r="AA104" s="181">
        <v>0.85</v>
      </c>
    </row>
    <row r="105" spans="15:27" ht="12.75">
      <c r="O105" s="79" t="s">
        <v>115</v>
      </c>
      <c r="P105" s="88">
        <v>100</v>
      </c>
      <c r="Q105" s="88">
        <v>85</v>
      </c>
      <c r="R105" s="89">
        <v>0.9</v>
      </c>
      <c r="S105" s="89">
        <v>0.85</v>
      </c>
      <c r="T105" s="89">
        <v>0.7</v>
      </c>
      <c r="U105" s="89">
        <v>0.85</v>
      </c>
      <c r="V105" s="174">
        <v>0.7</v>
      </c>
      <c r="W105" s="89">
        <v>0.9</v>
      </c>
      <c r="X105" s="89">
        <v>0.95</v>
      </c>
      <c r="Y105" s="181">
        <v>1</v>
      </c>
      <c r="Z105" s="181">
        <v>0.9</v>
      </c>
      <c r="AA105" s="181">
        <v>0.85</v>
      </c>
    </row>
    <row r="109" spans="15:22" ht="12.75">
      <c r="O109" s="79"/>
      <c r="P109" s="207" t="s">
        <v>142</v>
      </c>
      <c r="Q109" s="207"/>
      <c r="R109" s="207"/>
      <c r="S109" s="207" t="s">
        <v>143</v>
      </c>
      <c r="T109" s="207"/>
      <c r="U109" s="79"/>
      <c r="V109" s="79"/>
    </row>
    <row r="110" spans="15:22" ht="12.75">
      <c r="O110" s="79"/>
      <c r="P110" s="123" t="s">
        <v>144</v>
      </c>
      <c r="Q110" s="123" t="s">
        <v>145</v>
      </c>
      <c r="R110" s="123" t="s">
        <v>146</v>
      </c>
      <c r="S110" s="123"/>
      <c r="T110" s="123"/>
      <c r="U110" s="79"/>
      <c r="V110" s="79"/>
    </row>
    <row r="111" spans="15:22" ht="12.75">
      <c r="O111" s="79" t="s">
        <v>147</v>
      </c>
      <c r="P111" s="183">
        <v>1</v>
      </c>
      <c r="Q111" s="183">
        <v>0.95</v>
      </c>
      <c r="R111" s="183">
        <v>0.9</v>
      </c>
      <c r="S111" s="198">
        <v>0.85</v>
      </c>
      <c r="T111" s="198"/>
      <c r="U111" s="79"/>
      <c r="V111" s="79" t="s">
        <v>148</v>
      </c>
    </row>
    <row r="112" spans="15:22" ht="12.75">
      <c r="O112" s="79" t="s">
        <v>149</v>
      </c>
      <c r="P112" s="186">
        <v>1</v>
      </c>
      <c r="Q112" s="186">
        <v>0.95</v>
      </c>
      <c r="R112" s="186">
        <v>0.9</v>
      </c>
      <c r="S112" s="198">
        <v>0.85</v>
      </c>
      <c r="T112" s="198"/>
      <c r="U112" s="79" t="s">
        <v>150</v>
      </c>
      <c r="V112" s="187">
        <v>120</v>
      </c>
    </row>
    <row r="113" spans="15:22" ht="12.75">
      <c r="O113" s="79" t="s">
        <v>151</v>
      </c>
      <c r="P113" s="186">
        <v>0.95</v>
      </c>
      <c r="Q113" s="186"/>
      <c r="R113" s="186"/>
      <c r="S113" s="198">
        <v>0.85</v>
      </c>
      <c r="T113" s="198"/>
      <c r="U113" s="79" t="s">
        <v>152</v>
      </c>
      <c r="V113" s="187">
        <v>100</v>
      </c>
    </row>
    <row r="114" spans="15:22" ht="12.75">
      <c r="O114" s="79" t="s">
        <v>153</v>
      </c>
      <c r="P114" s="186">
        <v>0.95</v>
      </c>
      <c r="Q114" s="186"/>
      <c r="R114" s="186"/>
      <c r="S114" s="198">
        <v>0.95</v>
      </c>
      <c r="T114" s="198"/>
      <c r="U114" s="79" t="s">
        <v>154</v>
      </c>
      <c r="V114" s="123">
        <v>4</v>
      </c>
    </row>
    <row r="115" spans="15:22" ht="12.75">
      <c r="O115" s="79" t="s">
        <v>117</v>
      </c>
      <c r="P115" s="186">
        <v>0.9</v>
      </c>
      <c r="Q115" s="186"/>
      <c r="R115" s="186"/>
      <c r="S115" s="198">
        <v>0.7</v>
      </c>
      <c r="T115" s="198"/>
      <c r="U115" s="79"/>
      <c r="V115" s="79"/>
    </row>
    <row r="116" spans="15:22" ht="12.75">
      <c r="O116" s="209" t="s">
        <v>155</v>
      </c>
      <c r="P116" s="206">
        <v>0.95</v>
      </c>
      <c r="Q116" s="206"/>
      <c r="R116" s="206"/>
      <c r="S116" s="123" t="s">
        <v>156</v>
      </c>
      <c r="T116" s="123" t="s">
        <v>117</v>
      </c>
      <c r="U116" s="79" t="s">
        <v>157</v>
      </c>
      <c r="V116" s="79"/>
    </row>
    <row r="117" spans="15:22" ht="12.75">
      <c r="O117" s="209"/>
      <c r="P117" s="206"/>
      <c r="Q117" s="206"/>
      <c r="R117" s="206"/>
      <c r="S117" s="186">
        <v>0.85</v>
      </c>
      <c r="T117" s="186">
        <v>0.7</v>
      </c>
      <c r="U117" s="186">
        <v>0.03</v>
      </c>
      <c r="V117" s="79"/>
    </row>
    <row r="118" spans="15:22" ht="12.75">
      <c r="O118" s="78"/>
      <c r="P118" s="206"/>
      <c r="Q118" s="206"/>
      <c r="R118" s="188"/>
      <c r="S118" s="206" t="s">
        <v>158</v>
      </c>
      <c r="T118" s="206"/>
      <c r="U118" s="186" t="s">
        <v>159</v>
      </c>
      <c r="V118" s="79"/>
    </row>
    <row r="119" spans="15:22" ht="12.75">
      <c r="O119" s="78"/>
      <c r="P119" s="188"/>
      <c r="Q119" s="188"/>
      <c r="R119" s="188"/>
      <c r="S119" s="188" t="s">
        <v>160</v>
      </c>
      <c r="T119" s="188" t="s">
        <v>161</v>
      </c>
      <c r="U119" s="186"/>
      <c r="V119" s="79"/>
    </row>
    <row r="120" spans="15:22" ht="12.75">
      <c r="O120" s="78" t="s">
        <v>133</v>
      </c>
      <c r="P120" s="188"/>
      <c r="Q120" s="188"/>
      <c r="R120" s="188"/>
      <c r="S120" s="186">
        <v>1</v>
      </c>
      <c r="T120" s="186">
        <v>0.9</v>
      </c>
      <c r="U120" s="186">
        <v>0.85</v>
      </c>
      <c r="V120" s="79"/>
    </row>
    <row r="121" spans="15:22" ht="12.75">
      <c r="O121" s="79"/>
      <c r="P121" s="189"/>
      <c r="Q121" s="79"/>
      <c r="R121" s="79"/>
      <c r="S121" s="79"/>
      <c r="T121" s="79"/>
      <c r="U121" s="79"/>
      <c r="V121" s="79"/>
    </row>
    <row r="122" spans="15:22" ht="12.75">
      <c r="O122" s="123" t="s">
        <v>162</v>
      </c>
      <c r="P122" s="186" t="s">
        <v>163</v>
      </c>
      <c r="Q122" s="123" t="s">
        <v>164</v>
      </c>
      <c r="R122" s="123" t="s">
        <v>162</v>
      </c>
      <c r="S122" s="186" t="s">
        <v>163</v>
      </c>
      <c r="T122" s="123" t="s">
        <v>164</v>
      </c>
      <c r="U122" s="79"/>
      <c r="V122" s="79"/>
    </row>
    <row r="123" spans="15:22" ht="12.75">
      <c r="O123" s="184">
        <v>30000</v>
      </c>
      <c r="P123" s="183">
        <v>0.45</v>
      </c>
      <c r="Q123" s="183">
        <v>0.65</v>
      </c>
      <c r="R123" s="158">
        <v>1000</v>
      </c>
      <c r="S123" s="183">
        <v>0.4</v>
      </c>
      <c r="T123" s="183">
        <v>0.6</v>
      </c>
      <c r="U123" s="79"/>
      <c r="V123" s="79"/>
    </row>
    <row r="124" spans="15:22" ht="12.75">
      <c r="O124" s="184">
        <v>60000</v>
      </c>
      <c r="P124" s="183">
        <v>0.5</v>
      </c>
      <c r="Q124" s="183">
        <v>0.7</v>
      </c>
      <c r="R124" s="158">
        <v>2000</v>
      </c>
      <c r="S124" s="183">
        <v>0.45</v>
      </c>
      <c r="T124" s="183">
        <v>0.65</v>
      </c>
      <c r="U124" s="79"/>
      <c r="V124" s="79"/>
    </row>
    <row r="125" spans="15:22" ht="12.75">
      <c r="O125" s="184">
        <v>90000</v>
      </c>
      <c r="P125" s="183">
        <v>0.55</v>
      </c>
      <c r="Q125" s="183">
        <v>0.75</v>
      </c>
      <c r="R125" s="158">
        <v>3000</v>
      </c>
      <c r="S125" s="183">
        <v>0.5</v>
      </c>
      <c r="T125" s="183">
        <v>0.7</v>
      </c>
      <c r="U125" s="79"/>
      <c r="V125" s="79"/>
    </row>
    <row r="126" spans="15:22" ht="12.75">
      <c r="O126" s="184">
        <v>180000</v>
      </c>
      <c r="P126" s="183">
        <v>0.6</v>
      </c>
      <c r="Q126" s="183">
        <v>0.8</v>
      </c>
      <c r="R126" s="158">
        <v>6000</v>
      </c>
      <c r="S126" s="183">
        <v>0.55</v>
      </c>
      <c r="T126" s="183">
        <v>0.75</v>
      </c>
      <c r="U126" s="79"/>
      <c r="V126" s="79"/>
    </row>
    <row r="127" spans="15:22" ht="12.75">
      <c r="O127" s="184">
        <v>270000</v>
      </c>
      <c r="P127" s="183">
        <v>0.65</v>
      </c>
      <c r="Q127" s="183">
        <v>0.85</v>
      </c>
      <c r="R127" s="158">
        <v>9000</v>
      </c>
      <c r="S127" s="183">
        <v>0.6</v>
      </c>
      <c r="T127" s="183">
        <v>0.8</v>
      </c>
      <c r="U127" s="79"/>
      <c r="V127" s="79"/>
    </row>
    <row r="128" spans="15:22" ht="12.75">
      <c r="O128" s="184">
        <v>360000</v>
      </c>
      <c r="P128" s="183">
        <v>0.7</v>
      </c>
      <c r="Q128" s="183">
        <v>0.9</v>
      </c>
      <c r="R128" s="158">
        <v>12000</v>
      </c>
      <c r="S128" s="183">
        <v>0.65</v>
      </c>
      <c r="T128" s="183">
        <v>0.85</v>
      </c>
      <c r="U128" s="79"/>
      <c r="V128" s="79"/>
    </row>
    <row r="129" spans="15:22" ht="12.75">
      <c r="O129" s="184">
        <v>100000000</v>
      </c>
      <c r="P129" s="183">
        <v>0.75</v>
      </c>
      <c r="Q129" s="183">
        <v>0.95</v>
      </c>
      <c r="R129" s="158">
        <v>3000000</v>
      </c>
      <c r="S129" s="183">
        <v>0.7</v>
      </c>
      <c r="T129" s="183">
        <v>0.9</v>
      </c>
      <c r="U129" s="79"/>
      <c r="V129" s="79"/>
    </row>
    <row r="130" spans="15:22" ht="12.75">
      <c r="O130" s="184"/>
      <c r="P130" s="183"/>
      <c r="Q130" s="183"/>
      <c r="R130" s="158"/>
      <c r="S130" s="183"/>
      <c r="T130" s="183"/>
      <c r="U130" s="79"/>
      <c r="V130" s="79"/>
    </row>
    <row r="131" spans="15:22" ht="12.75">
      <c r="O131" s="78" t="s">
        <v>133</v>
      </c>
      <c r="P131" s="183">
        <v>0.1</v>
      </c>
      <c r="Q131" s="183">
        <v>0.05</v>
      </c>
      <c r="R131" s="158"/>
      <c r="S131" s="183"/>
      <c r="T131" s="183"/>
      <c r="U131" s="79"/>
      <c r="V131" s="79"/>
    </row>
    <row r="132" spans="15:22" ht="12.75">
      <c r="O132" s="184"/>
      <c r="P132" s="183"/>
      <c r="Q132" s="183"/>
      <c r="R132" s="158"/>
      <c r="S132" s="89"/>
      <c r="T132" s="89"/>
      <c r="U132" s="79"/>
      <c r="V132" s="79"/>
    </row>
    <row r="133" spans="15:22" ht="12.75">
      <c r="O133" s="190" t="s">
        <v>165</v>
      </c>
      <c r="P133" s="208" t="s">
        <v>166</v>
      </c>
      <c r="Q133" s="208"/>
      <c r="R133" s="208" t="s">
        <v>167</v>
      </c>
      <c r="S133" s="208"/>
      <c r="T133" s="208" t="s">
        <v>168</v>
      </c>
      <c r="U133" s="208"/>
      <c r="V133" s="79"/>
    </row>
    <row r="134" spans="15:22" ht="12.75">
      <c r="O134" s="79"/>
      <c r="P134" s="123" t="s">
        <v>169</v>
      </c>
      <c r="Q134" s="123" t="s">
        <v>170</v>
      </c>
      <c r="R134" s="123" t="s">
        <v>169</v>
      </c>
      <c r="S134" s="123" t="s">
        <v>170</v>
      </c>
      <c r="T134" s="123" t="s">
        <v>169</v>
      </c>
      <c r="U134" s="123" t="s">
        <v>170</v>
      </c>
      <c r="V134" s="79"/>
    </row>
    <row r="135" spans="15:22" ht="12.75">
      <c r="O135" s="123">
        <v>5</v>
      </c>
      <c r="P135" s="185"/>
      <c r="Q135" s="185"/>
      <c r="R135" s="185"/>
      <c r="S135" s="185"/>
      <c r="T135" s="79"/>
      <c r="U135" s="79"/>
      <c r="V135" s="79"/>
    </row>
    <row r="136" spans="15:22" ht="12.75">
      <c r="O136" s="123">
        <v>7</v>
      </c>
      <c r="P136" s="185">
        <v>0.098</v>
      </c>
      <c r="Q136" s="185">
        <v>0.125</v>
      </c>
      <c r="R136" s="185">
        <v>0.12</v>
      </c>
      <c r="S136" s="185">
        <v>0.15</v>
      </c>
      <c r="T136" s="79"/>
      <c r="U136" s="79"/>
      <c r="V136" s="79"/>
    </row>
    <row r="137" spans="15:22" ht="12.75">
      <c r="O137" s="123">
        <v>10</v>
      </c>
      <c r="P137" s="185">
        <v>0.105</v>
      </c>
      <c r="Q137" s="185">
        <v>0.13</v>
      </c>
      <c r="R137" s="185">
        <v>0.125</v>
      </c>
      <c r="S137" s="185">
        <v>0.16</v>
      </c>
      <c r="T137" s="185">
        <v>0.115</v>
      </c>
      <c r="U137" s="185">
        <v>0.175</v>
      </c>
      <c r="V137" s="79"/>
    </row>
    <row r="138" spans="15:22" ht="12.75">
      <c r="O138" s="123">
        <v>15</v>
      </c>
      <c r="P138" s="185">
        <v>0.11</v>
      </c>
      <c r="Q138" s="185">
        <v>0.135</v>
      </c>
      <c r="R138" s="185"/>
      <c r="S138" s="185"/>
      <c r="T138" s="79"/>
      <c r="U138" s="79"/>
      <c r="V138" s="79"/>
    </row>
    <row r="139" spans="15:22" ht="12.75">
      <c r="O139" s="123">
        <v>20</v>
      </c>
      <c r="P139" s="185">
        <v>0.115</v>
      </c>
      <c r="Q139" s="185"/>
      <c r="R139" s="185"/>
      <c r="S139" s="185"/>
      <c r="T139" s="79"/>
      <c r="U139" s="79"/>
      <c r="V139" s="79"/>
    </row>
    <row r="140" spans="15:22" ht="12.75">
      <c r="O140" s="123">
        <v>25</v>
      </c>
      <c r="P140" s="185">
        <v>0.12</v>
      </c>
      <c r="Q140" s="185">
        <v>0.14</v>
      </c>
      <c r="R140" s="185"/>
      <c r="S140" s="185"/>
      <c r="T140" s="185">
        <v>0.12</v>
      </c>
      <c r="U140" s="185">
        <v>0.18</v>
      </c>
      <c r="V140" s="79"/>
    </row>
    <row r="141" spans="15:22" ht="12.75">
      <c r="O141" s="77" t="s">
        <v>171</v>
      </c>
      <c r="P141" s="185">
        <v>0.02</v>
      </c>
      <c r="Q141" s="185"/>
      <c r="R141" s="185"/>
      <c r="S141" s="185"/>
      <c r="T141" s="185"/>
      <c r="U141" s="185"/>
      <c r="V141" s="79"/>
    </row>
    <row r="142" spans="15:22" ht="12.75">
      <c r="O142" s="79" t="s">
        <v>172</v>
      </c>
      <c r="P142" s="185">
        <v>0.005</v>
      </c>
      <c r="Q142" s="79"/>
      <c r="R142" s="79"/>
      <c r="S142" s="79"/>
      <c r="T142" s="79"/>
      <c r="U142" s="79"/>
      <c r="V142" s="79"/>
    </row>
    <row r="144" spans="15:23" ht="12.75">
      <c r="O144" s="207" t="s">
        <v>173</v>
      </c>
      <c r="P144" s="207"/>
      <c r="Q144" s="207"/>
      <c r="R144" s="207"/>
      <c r="S144" s="207"/>
      <c r="T144" s="207"/>
      <c r="U144" s="207"/>
      <c r="V144" s="207"/>
      <c r="W144" s="207"/>
    </row>
    <row r="145" spans="15:23" ht="12.75">
      <c r="O145" s="79"/>
      <c r="P145" s="207" t="s">
        <v>169</v>
      </c>
      <c r="Q145" s="207"/>
      <c r="R145" s="207"/>
      <c r="S145" s="207"/>
      <c r="T145" s="207" t="s">
        <v>170</v>
      </c>
      <c r="U145" s="207"/>
      <c r="V145" s="207"/>
      <c r="W145" s="207"/>
    </row>
    <row r="146" spans="15:23" ht="12.75">
      <c r="O146" s="79"/>
      <c r="P146" s="183">
        <v>0.25</v>
      </c>
      <c r="Q146" s="183">
        <v>0.5</v>
      </c>
      <c r="R146" s="183">
        <v>0.75</v>
      </c>
      <c r="S146" s="183">
        <v>1</v>
      </c>
      <c r="T146" s="183">
        <v>0.25</v>
      </c>
      <c r="U146" s="183">
        <v>0.5</v>
      </c>
      <c r="V146" s="183">
        <v>0.75</v>
      </c>
      <c r="W146" s="183">
        <v>1</v>
      </c>
    </row>
    <row r="147" spans="15:23" ht="12.75">
      <c r="O147" s="123">
        <v>5</v>
      </c>
      <c r="P147" s="79"/>
      <c r="Q147" s="79"/>
      <c r="R147" s="79"/>
      <c r="S147" s="79"/>
      <c r="T147" s="79"/>
      <c r="U147" s="79"/>
      <c r="V147" s="79"/>
      <c r="W147" s="79"/>
    </row>
    <row r="148" spans="15:23" ht="12.75">
      <c r="O148" s="123">
        <v>7</v>
      </c>
      <c r="P148" s="185">
        <v>0.098</v>
      </c>
      <c r="Q148" s="185">
        <v>0.088</v>
      </c>
      <c r="R148" s="185">
        <v>0.084</v>
      </c>
      <c r="S148" s="185">
        <v>0.08</v>
      </c>
      <c r="T148" s="185">
        <v>0.13</v>
      </c>
      <c r="U148" s="185">
        <v>0.117</v>
      </c>
      <c r="V148" s="185">
        <v>0.111</v>
      </c>
      <c r="W148" s="185">
        <v>0.104</v>
      </c>
    </row>
    <row r="149" spans="15:23" ht="12.75">
      <c r="O149" s="123">
        <v>10</v>
      </c>
      <c r="P149" s="185">
        <v>0.105</v>
      </c>
      <c r="Q149" s="185">
        <v>0.095</v>
      </c>
      <c r="R149" s="185">
        <v>0.09</v>
      </c>
      <c r="S149" s="185">
        <v>0.084</v>
      </c>
      <c r="T149" s="185"/>
      <c r="U149" s="185"/>
      <c r="V149" s="185"/>
      <c r="W149" s="185"/>
    </row>
    <row r="150" spans="15:23" ht="12.75">
      <c r="O150" s="123">
        <v>15</v>
      </c>
      <c r="P150" s="185">
        <v>0.11</v>
      </c>
      <c r="Q150" s="185">
        <v>0.099</v>
      </c>
      <c r="R150" s="185">
        <v>0.094</v>
      </c>
      <c r="S150" s="185">
        <v>0.088</v>
      </c>
      <c r="T150" s="185"/>
      <c r="U150" s="185"/>
      <c r="V150" s="185"/>
      <c r="W150" s="185"/>
    </row>
    <row r="151" spans="15:23" ht="12.75">
      <c r="O151" s="123">
        <v>20</v>
      </c>
      <c r="P151" s="185">
        <v>0.115</v>
      </c>
      <c r="Q151" s="185">
        <v>0.104</v>
      </c>
      <c r="R151" s="185">
        <v>0.098</v>
      </c>
      <c r="S151" s="185">
        <v>0.092</v>
      </c>
      <c r="T151" s="185"/>
      <c r="U151" s="185"/>
      <c r="V151" s="185"/>
      <c r="W151" s="185"/>
    </row>
    <row r="152" spans="15:23" ht="12.75">
      <c r="O152" s="123">
        <v>25</v>
      </c>
      <c r="P152" s="185">
        <v>0.12</v>
      </c>
      <c r="Q152" s="185">
        <v>0.108</v>
      </c>
      <c r="R152" s="185">
        <v>0.102</v>
      </c>
      <c r="S152" s="185">
        <v>0.096</v>
      </c>
      <c r="T152" s="185">
        <v>0.14</v>
      </c>
      <c r="U152" s="185">
        <v>0.126</v>
      </c>
      <c r="V152" s="185">
        <v>0.119</v>
      </c>
      <c r="W152" s="185">
        <v>0.112</v>
      </c>
    </row>
    <row r="153" spans="15:23" ht="12.75">
      <c r="O153" s="77" t="s">
        <v>171</v>
      </c>
      <c r="P153" s="185">
        <v>0.016</v>
      </c>
      <c r="Q153" s="79"/>
      <c r="R153" s="79"/>
      <c r="S153" s="79"/>
      <c r="T153" s="79"/>
      <c r="U153" s="79"/>
      <c r="V153" s="79"/>
      <c r="W153" s="79"/>
    </row>
  </sheetData>
  <sheetProtection password="84F1" sheet="1" objects="1" scenarios="1"/>
  <mergeCells count="27">
    <mergeCell ref="B2:H2"/>
    <mergeCell ref="A5:B5"/>
    <mergeCell ref="G4:H4"/>
    <mergeCell ref="A4:B4"/>
    <mergeCell ref="E4:F4"/>
    <mergeCell ref="Y26:AA26"/>
    <mergeCell ref="P109:R109"/>
    <mergeCell ref="S109:T109"/>
    <mergeCell ref="S111:T111"/>
    <mergeCell ref="U26:V26"/>
    <mergeCell ref="W26:X26"/>
    <mergeCell ref="O116:O117"/>
    <mergeCell ref="P116:P117"/>
    <mergeCell ref="S112:T112"/>
    <mergeCell ref="S113:T113"/>
    <mergeCell ref="S114:T114"/>
    <mergeCell ref="S115:T115"/>
    <mergeCell ref="Q116:Q117"/>
    <mergeCell ref="R116:R117"/>
    <mergeCell ref="P118:Q118"/>
    <mergeCell ref="S118:T118"/>
    <mergeCell ref="P145:S145"/>
    <mergeCell ref="T145:W145"/>
    <mergeCell ref="P133:Q133"/>
    <mergeCell ref="R133:S133"/>
    <mergeCell ref="T133:U133"/>
    <mergeCell ref="O144:W144"/>
  </mergeCells>
  <dataValidations count="3">
    <dataValidation type="whole" operator="lessThanOrEqual" allowBlank="1" showErrorMessage="1" promptTitle="ошибка " errorTitle="Ошибка ввода" error="Срок кредита не может быть более 25 лет." sqref="C4">
      <formula1>25</formula1>
    </dataValidation>
    <dataValidation operator="lessThanOrEqual" allowBlank="1" showInputMessage="1" showErrorMessage="1" sqref="B8 D10"/>
    <dataValidation type="list" allowBlank="1" showInputMessage="1" showErrorMessage="1" sqref="B2:H2">
      <formula1>$O$28:$O$105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9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105"/>
  <sheetViews>
    <sheetView workbookViewId="0" topLeftCell="A1">
      <selection activeCell="A19" sqref="A19"/>
    </sheetView>
  </sheetViews>
  <sheetFormatPr defaultColWidth="9.00390625" defaultRowHeight="12.75"/>
  <cols>
    <col min="1" max="1" width="26.75390625" style="1" customWidth="1"/>
    <col min="2" max="2" width="16.75390625" style="2" customWidth="1"/>
    <col min="3" max="3" width="5.75390625" style="2" customWidth="1"/>
    <col min="4" max="4" width="16.75390625" style="2" customWidth="1"/>
    <col min="5" max="5" width="5.75390625" style="2" customWidth="1"/>
    <col min="6" max="6" width="16.75390625" style="2" customWidth="1"/>
    <col min="7" max="7" width="5.75390625" style="2" customWidth="1"/>
    <col min="8" max="8" width="16.75390625" style="2" customWidth="1"/>
    <col min="9" max="9" width="5.75390625" style="2" customWidth="1"/>
    <col min="10" max="10" width="16.75390625" style="2" customWidth="1"/>
    <col min="11" max="11" width="9.125" style="2" customWidth="1"/>
    <col min="12" max="12" width="10.375" style="2" customWidth="1"/>
    <col min="13" max="13" width="10.00390625" style="2" customWidth="1"/>
    <col min="14" max="14" width="12.625" style="2" hidden="1" customWidth="1"/>
    <col min="15" max="15" width="20.375" style="2" hidden="1" customWidth="1"/>
    <col min="16" max="16" width="11.625" style="2" hidden="1" customWidth="1"/>
    <col min="17" max="17" width="12.375" style="2" hidden="1" customWidth="1"/>
    <col min="18" max="18" width="12.125" style="2" hidden="1" customWidth="1"/>
    <col min="19" max="19" width="12.375" style="2" hidden="1" customWidth="1"/>
    <col min="20" max="20" width="10.00390625" style="2" hidden="1" customWidth="1"/>
    <col min="21" max="21" width="12.125" style="2" hidden="1" customWidth="1"/>
    <col min="22" max="22" width="10.875" style="2" hidden="1" customWidth="1"/>
    <col min="23" max="23" width="11.75390625" style="2" hidden="1" customWidth="1"/>
    <col min="24" max="24" width="11.125" style="2" hidden="1" customWidth="1"/>
    <col min="25" max="25" width="10.375" style="2" hidden="1" customWidth="1"/>
    <col min="26" max="26" width="14.625" style="2" hidden="1" customWidth="1"/>
    <col min="27" max="27" width="12.75390625" style="2" hidden="1" customWidth="1"/>
    <col min="28" max="16384" width="9.125" style="2" customWidth="1"/>
  </cols>
  <sheetData>
    <row r="1" ht="13.5" thickBot="1"/>
    <row r="2" spans="1:15" ht="17.25" thickBot="1" thickTop="1">
      <c r="A2" s="31" t="s">
        <v>26</v>
      </c>
      <c r="B2" s="200" t="s">
        <v>141</v>
      </c>
      <c r="C2" s="201"/>
      <c r="D2" s="201"/>
      <c r="E2" s="201"/>
      <c r="F2" s="201"/>
      <c r="G2" s="201"/>
      <c r="H2" s="202"/>
      <c r="J2" s="32">
        <f>O2</f>
        <v>100</v>
      </c>
      <c r="O2" s="7">
        <f>IF(C5&gt;=USD!V114,O6,O5)</f>
        <v>100</v>
      </c>
    </row>
    <row r="3" spans="15:17" ht="14.25" thickBot="1" thickTop="1">
      <c r="O3" s="2">
        <f>VLOOKUP(B2,O28:R105,4,FALSE)</f>
        <v>0.85</v>
      </c>
      <c r="Q3" s="79" t="s">
        <v>128</v>
      </c>
    </row>
    <row r="4" spans="1:17" ht="17.25" thickBot="1" thickTop="1">
      <c r="A4" s="194" t="s">
        <v>0</v>
      </c>
      <c r="B4" s="195"/>
      <c r="C4" s="33">
        <v>20</v>
      </c>
      <c r="D4" s="54" t="s">
        <v>1</v>
      </c>
      <c r="E4" s="196" t="s">
        <v>2</v>
      </c>
      <c r="F4" s="243"/>
      <c r="G4" s="205">
        <f>IF(C4&lt;=USD!O136,USD!Q136,IF(C4&lt;=USD!O137,USD!Q137,IF(C4&lt;=USD!O138,USD!Q138,IF(C4&lt;=USD!O140,USD!Q140,10))))</f>
        <v>0.14</v>
      </c>
      <c r="H4" s="193"/>
      <c r="Q4" s="79" t="s">
        <v>131</v>
      </c>
    </row>
    <row r="5" spans="1:15" ht="17.25" thickBot="1" thickTop="1">
      <c r="A5" s="203" t="s">
        <v>3</v>
      </c>
      <c r="B5" s="242"/>
      <c r="C5" s="33">
        <v>3</v>
      </c>
      <c r="E5" s="244" t="s">
        <v>127</v>
      </c>
      <c r="F5" s="244"/>
      <c r="G5" s="211" t="s">
        <v>128</v>
      </c>
      <c r="H5" s="212"/>
      <c r="O5" s="7">
        <f>VLOOKUP(B2,O28:Q105,2,FALSE)</f>
        <v>100</v>
      </c>
    </row>
    <row r="6" spans="1:15" ht="17.25" thickBot="1" thickTop="1">
      <c r="A6" s="74" t="s">
        <v>14</v>
      </c>
      <c r="B6" s="211">
        <v>27.77</v>
      </c>
      <c r="C6" s="212"/>
      <c r="D6" s="239" t="s">
        <v>129</v>
      </c>
      <c r="E6" s="239"/>
      <c r="F6" s="239"/>
      <c r="G6" s="245">
        <v>300000</v>
      </c>
      <c r="H6" s="246"/>
      <c r="N6" s="7">
        <f>O2*C5</f>
        <v>300</v>
      </c>
      <c r="O6" s="7">
        <f>VLOOKUP(B2,O28:Q105,3,FALSE)</f>
        <v>85</v>
      </c>
    </row>
    <row r="7" spans="1:15" ht="17.25" customHeight="1" thickBot="1" thickTop="1">
      <c r="A7" s="74"/>
      <c r="B7" s="177"/>
      <c r="C7" s="100"/>
      <c r="D7" s="239" t="s">
        <v>130</v>
      </c>
      <c r="E7" s="239"/>
      <c r="F7" s="239"/>
      <c r="G7" s="240">
        <v>6</v>
      </c>
      <c r="H7" s="241"/>
      <c r="I7" s="178" t="s">
        <v>34</v>
      </c>
      <c r="O7" s="11">
        <f>VLOOKUP(B2,O28:AA105,11,FALSE)</f>
        <v>1</v>
      </c>
    </row>
    <row r="8" spans="2:15" ht="27" customHeight="1" thickTop="1">
      <c r="B8" s="27" t="s">
        <v>4</v>
      </c>
      <c r="C8" s="102"/>
      <c r="D8" s="27" t="s">
        <v>5</v>
      </c>
      <c r="E8" s="102"/>
      <c r="F8" s="27" t="s">
        <v>6</v>
      </c>
      <c r="G8" s="102"/>
      <c r="H8" s="27" t="s">
        <v>7</v>
      </c>
      <c r="I8" s="102"/>
      <c r="J8" s="27" t="s">
        <v>8</v>
      </c>
      <c r="O8" s="11">
        <f>VLOOKUP(B2,O28:AA105,12,FALSE)</f>
        <v>0.9</v>
      </c>
    </row>
    <row r="9" spans="2:15" ht="12.75" customHeight="1" thickBot="1">
      <c r="B9" s="6"/>
      <c r="D9" s="6"/>
      <c r="F9" s="6"/>
      <c r="H9" s="6"/>
      <c r="O9" s="11">
        <f>VLOOKUP(B2,O28:AA105,13,FALSE)</f>
        <v>0.85</v>
      </c>
    </row>
    <row r="10" spans="1:23" s="10" customFormat="1" ht="27" customHeight="1" thickBot="1" thickTop="1">
      <c r="A10" s="178" t="s">
        <v>132</v>
      </c>
      <c r="B10" s="136">
        <v>785743</v>
      </c>
      <c r="C10" s="40"/>
      <c r="D10" s="137">
        <f>ROUND(MAX(D12/$O$7,D12/$O$8-$G$6*0.9),0)</f>
        <v>785743</v>
      </c>
      <c r="E10" s="40"/>
      <c r="F10" s="137">
        <f>ROUND(MAX(F12/$O$7,F12/$O$8-$G$6*0.9),0)</f>
        <v>785743</v>
      </c>
      <c r="G10" s="40"/>
      <c r="H10" s="137">
        <f>ROUND(MAX(H12/$O$7,H12/$O$8-$G$6*0.9),0)</f>
        <v>785764</v>
      </c>
      <c r="I10" s="40"/>
      <c r="J10" s="170">
        <v>0</v>
      </c>
      <c r="N10" s="81">
        <f>(IF(B14&lt;B16,B16,B14)+$N$6*$B$6)/(USD!$Q$123+IF($G$5=$Q$3,IF(B14&lt;B16,0,USD!$P$131),0))</f>
        <v>23330.666666666668</v>
      </c>
      <c r="O10" s="81">
        <f>IF(B14&lt;B16,B16,B14)/(USD!$P$123+IF($G$5=$Q$3,IF(B14&lt;B16,0,USD!$P$131),0))</f>
        <v>16667.272727272724</v>
      </c>
      <c r="P10" s="81">
        <f>(IF(D14&lt;D16,D16,D14)+$N$6*$B$6)/(USD!$Q$123+IF($G$5=$Q$3,IF(D14&lt;D16,0,USD!$P$131),0))</f>
        <v>23330.666666666668</v>
      </c>
      <c r="Q10" s="81">
        <f>IF(D14&lt;D16,D16,D14)/(USD!$P$123+IF($G$5=$Q$3,IF(D14&lt;D16,0,USD!$P$131),0))</f>
        <v>16667.272727272724</v>
      </c>
      <c r="R10" s="81">
        <f>(IF(F14&lt;F16,F16,F14)+$N$6*$B$6)/(USD!$Q$123+IF($G$5=$Q$3,IF(F14&lt;F16,0,USD!$P$131),0))</f>
        <v>23330.666666666668</v>
      </c>
      <c r="S10" s="81">
        <f>IF(F14&lt;F16,F16,F14)/(USD!$P$123+IF($G$5=$Q$3,IF(F14&lt;F16,0,USD!$P$131),0))</f>
        <v>16667.272727272724</v>
      </c>
      <c r="T10" s="2"/>
      <c r="U10" s="2"/>
      <c r="V10" s="81">
        <f>(IF(J14&lt;J16,J16,J14)+$N$6*$B$6)/(USD!$Q$123+IF($G$5=$Q$3,IF(J14&lt;J16,0,USD!$P$131),0))</f>
        <v>11108</v>
      </c>
      <c r="W10" s="81">
        <f>IF(J14&lt;J16,J16,J14)/(USD!$P$123+IF($G$5=$Q$3,IF(J14&lt;J16,0,USD!$P$131),0))</f>
        <v>0</v>
      </c>
    </row>
    <row r="11" spans="1:23" ht="9" customHeight="1" thickBot="1" thickTop="1">
      <c r="A11" s="101"/>
      <c r="B11" s="40"/>
      <c r="C11" s="40"/>
      <c r="D11" s="40"/>
      <c r="E11" s="40"/>
      <c r="F11" s="40"/>
      <c r="G11" s="40"/>
      <c r="H11" s="40"/>
      <c r="I11" s="40"/>
      <c r="J11" s="40"/>
      <c r="L11" s="10"/>
      <c r="M11" s="12"/>
      <c r="N11" s="80"/>
      <c r="O11" s="81">
        <f>USD!$O$123+0.01</f>
        <v>30000.01</v>
      </c>
      <c r="P11" s="80"/>
      <c r="Q11" s="81">
        <f>USD!$O$123+0.01</f>
        <v>30000.01</v>
      </c>
      <c r="R11" s="80"/>
      <c r="S11" s="81">
        <f>USD!$O$123+0.01</f>
        <v>30000.01</v>
      </c>
      <c r="V11" s="80"/>
      <c r="W11" s="81">
        <f>USD!$O$123+0.01</f>
        <v>30000.01</v>
      </c>
    </row>
    <row r="12" spans="1:23" s="14" customFormat="1" ht="27" customHeight="1" thickBot="1" thickTop="1">
      <c r="A12" s="31" t="s">
        <v>10</v>
      </c>
      <c r="B12" s="138">
        <f>ROUND(MIN(B10*O7,(B10+G6*0.9)*O8),0)</f>
        <v>785743</v>
      </c>
      <c r="C12" s="8"/>
      <c r="D12" s="139">
        <v>785743</v>
      </c>
      <c r="E12" s="9"/>
      <c r="F12" s="138">
        <f>ROUND(IF($G$5=$Q$3,F14/($G$4/12),F14/(($G$4/12)/(1-(1+($G$4/12))^-($C$4*12)))),0)</f>
        <v>785743</v>
      </c>
      <c r="G12" s="9"/>
      <c r="H12" s="138">
        <f>ROUND(IF($G$5=$Q$3,H14/($G$4/12),H14/(($G$4/12)/(1-(1+($G$4/12))^-($C$4*12)))),0)</f>
        <v>785764</v>
      </c>
      <c r="I12" s="9"/>
      <c r="J12" s="171">
        <v>0</v>
      </c>
      <c r="N12" s="81">
        <f>(IF(B14&lt;B16,B16,B14)+$N$6*$B$6)/(USD!$Q$124+IF($G$5=$Q$3,IF(B14&lt;B16,0,USD!$P$131),0))</f>
        <v>21872.500000000004</v>
      </c>
      <c r="O12" s="81">
        <f>IF(B14&lt;B16,B16,B14)/(USD!$P$124+IF($G$5=$Q$3,IF(B14&lt;B16,0,USD!$P$131),0))</f>
        <v>15278.333333333334</v>
      </c>
      <c r="P12" s="81">
        <f>(IF(D14&lt;D16,D16,D14)+$N$6*$B$6)/(USD!$Q$124+IF($G$5=$Q$3,IF(D14&lt;D16,0,USD!$P$131),0))</f>
        <v>21872.500000000004</v>
      </c>
      <c r="Q12" s="81">
        <f>IF(D14&lt;D16,D16,D14)/(USD!$P$124+IF($G$5=$Q$3,IF(D14&lt;D16,0,USD!$P$131),0))</f>
        <v>15278.333333333334</v>
      </c>
      <c r="R12" s="81">
        <f>(IF(F14&lt;F16,F16,F14)+$N$6*$B$6)/(USD!$Q$124+IF($G$5=$Q$3,IF(F14&lt;F16,0,USD!$P$131),0))</f>
        <v>21872.500000000004</v>
      </c>
      <c r="S12" s="81">
        <f>IF(F14&lt;F16,F16,F14)/(USD!$P$124+IF($G$5=$Q$3,IF(F14&lt;F16,0,USD!$P$131),0))</f>
        <v>15278.333333333334</v>
      </c>
      <c r="T12" s="10"/>
      <c r="U12" s="10"/>
      <c r="V12" s="81">
        <f>(IF(J14&lt;J16,J16,J14)+$N$6*$B$6)/(USD!$Q$124+IF($G$5=$Q$3,IF(J14&lt;J16,0,USD!$P$131),0))</f>
        <v>10413.75</v>
      </c>
      <c r="W12" s="81">
        <f>IF(J14&lt;J16,J16,J14)/(USD!$P$124+IF($G$5=$Q$3,IF(J14&lt;J16,0,USD!$P$131),0))</f>
        <v>0</v>
      </c>
    </row>
    <row r="13" spans="1:23" ht="9" customHeight="1" thickBot="1" thickTop="1">
      <c r="A13" s="36"/>
      <c r="B13" s="9"/>
      <c r="C13" s="9"/>
      <c r="D13" s="9"/>
      <c r="E13" s="40"/>
      <c r="F13" s="9"/>
      <c r="G13" s="40"/>
      <c r="H13" s="16"/>
      <c r="I13" s="40"/>
      <c r="J13" s="9"/>
      <c r="N13" s="81"/>
      <c r="O13" s="81">
        <f>USD!$O$124+0.01</f>
        <v>60000.01</v>
      </c>
      <c r="P13" s="81"/>
      <c r="Q13" s="81">
        <f>USD!$O$124+0.01</f>
        <v>60000.01</v>
      </c>
      <c r="R13" s="81"/>
      <c r="S13" s="81">
        <f>USD!$O$124+0.01</f>
        <v>60000.01</v>
      </c>
      <c r="V13" s="81"/>
      <c r="W13" s="81">
        <f>USD!$O$124+0.01</f>
        <v>60000.01</v>
      </c>
    </row>
    <row r="14" spans="1:24" ht="27" customHeight="1" thickBot="1" thickTop="1">
      <c r="A14" s="38" t="str">
        <f>IF(G5=Q3,"Ежемес. платежи до продажи старой квартиры","Ежемес. платежи до снятия обременения")</f>
        <v>Ежемес. платежи до продажи старой квартиры</v>
      </c>
      <c r="B14" s="140">
        <f>ROUND(IF($G$5=$Q$3,B12*$G$4/12,B12*(($G$4/12)/(1-(1+($G$4/12))^-($C$4*12)))),0)</f>
        <v>9167</v>
      </c>
      <c r="C14" s="23"/>
      <c r="D14" s="140">
        <f>ROUND(IF($G$5=$Q$3,D12*$G$4/12,D12*(($G$4/12)/(1-(1+($G$4/12))^-($C$4*12)))),0)</f>
        <v>9167</v>
      </c>
      <c r="E14" s="47"/>
      <c r="F14" s="141">
        <v>9167</v>
      </c>
      <c r="G14" s="47"/>
      <c r="H14" s="140">
        <f>IF(G5=Q3,IF(X15&gt;H28,H28,X15),X14)</f>
        <v>9167.25</v>
      </c>
      <c r="I14" s="47"/>
      <c r="J14" s="140">
        <v>0</v>
      </c>
      <c r="L14" s="13"/>
      <c r="N14" s="81">
        <f>(IF(B14&lt;B16,B16,B14)+$N$6*$B$6)/(USD!$Q$125+IF($G$5=$Q$3,IF(B14&lt;B16,0,USD!$P$131),0))</f>
        <v>20585.88235294118</v>
      </c>
      <c r="O14" s="81">
        <f>IF(B14&lt;B16,B16,B14)/(USD!$P$125+IF($G$5=$Q$3,IF(B14&lt;B16,0,USD!$P$131),0))</f>
        <v>14103.076923076922</v>
      </c>
      <c r="P14" s="81">
        <f>(IF(D14&lt;D16,D16,D14)+$N$6*$B$6)/(USD!$Q$125+IF($G$5=$Q$3,IF(D14&lt;D16,0,USD!$P$131),0))</f>
        <v>20585.88235294118</v>
      </c>
      <c r="Q14" s="81">
        <f>IF(D14&lt;D16,D16,D14)/(USD!$P$125+IF($G$5=$Q$3,IF(D14&lt;D16,0,USD!$P$131),0))</f>
        <v>14103.076923076922</v>
      </c>
      <c r="R14" s="81">
        <f>(IF(F14&lt;F16,F16,F14)+$N$6*$B$6)/(USD!$Q$125+IF($G$5=$Q$3,IF(F14&lt;F16,0,USD!$P$131),0))</f>
        <v>20585.88235294118</v>
      </c>
      <c r="S14" s="81">
        <f>IF(F14&lt;F16,F16,F14)/(USD!$P$125+IF($G$5=$Q$3,IF(F14&lt;F16,0,USD!$P$131),0))</f>
        <v>14103.076923076922</v>
      </c>
      <c r="T14" s="14"/>
      <c r="U14" s="14"/>
      <c r="V14" s="81">
        <f>(IF(J14&lt;J16,J16,J14)+$N$6*$B$6)/(USD!$Q$125+IF($G$5=$Q$3,IF(J14&lt;J16,0,USD!$P$131),0))</f>
        <v>9801.176470588236</v>
      </c>
      <c r="W14" s="81">
        <f>IF(J14&lt;J16,J16,J14)/(USD!$P$125+IF($G$5=$Q$3,IF(J14&lt;J16,0,USD!$P$131),0))</f>
        <v>0</v>
      </c>
      <c r="X14" s="2">
        <f>IF(H18=0,0,IF(H18&lt;=USD!O123,MIN(H18*USD!Q123-N6*B6,H18*USD!P123),IF(H18&lt;=USD!O124,MIN(H18*USD!Q124-N6*B6,H18*USD!P124),IF(H18&lt;=USD!O125,MIN(H18*USD!Q125-N6*B6,H18*USD!P125),IF(H18&lt;=USD!O126,MIN(H18*USD!Q126-N6*B6,H18*USD!P126),IF(H18&lt;=USD!O127,MIN(H18*USD!Q127-N6*B6,H18*USD!P127),IF(H18&lt;=USD!O128,MIN(H18*USD!Q128-N6*B6,H18*USD!P128),MIN(H18*USD!Q129-N6*B6,H18*USD!P129))))))))</f>
        <v>6834.15</v>
      </c>
    </row>
    <row r="15" spans="1:24" ht="9" customHeight="1" thickTop="1">
      <c r="A15" s="37"/>
      <c r="B15" s="71"/>
      <c r="C15" s="23"/>
      <c r="D15" s="71"/>
      <c r="E15" s="47"/>
      <c r="F15" s="180"/>
      <c r="G15" s="47"/>
      <c r="H15" s="71"/>
      <c r="I15" s="47"/>
      <c r="J15" s="71"/>
      <c r="N15" s="81"/>
      <c r="O15" s="81">
        <f>USD!$O$125+0.01</f>
        <v>90000.01</v>
      </c>
      <c r="P15" s="81"/>
      <c r="Q15" s="81">
        <f>USD!$O$125+0.01</f>
        <v>90000.01</v>
      </c>
      <c r="R15" s="81"/>
      <c r="S15" s="81">
        <f>USD!$O$125+0.01</f>
        <v>90000.01</v>
      </c>
      <c r="V15" s="81"/>
      <c r="W15" s="81">
        <f>USD!$O$125+0.01</f>
        <v>90000.01</v>
      </c>
      <c r="X15" s="2">
        <f>IF(H18=0,0,IF(H18&lt;=USD!O123,MIN(H18*(USD!Q123+USD!P131)-N6*B6,H18*(USD!P123+USD!P131)),IF(H18&lt;=USD!O124,MIN(H18*(USD!Q124+USD!P131)-N6*B6,H18*(USD!P124+USD!P131)),IF(H18&lt;=USD!O125,MIN(H18*(USD!Q125+USD!P131)-N6*B6,H18*(USD!P125+USD!P131)),IF(H18&lt;=USD!O126,MIN(H18*(USD!Q126+USD!P131)-N6*B6,H18*(USD!P126+USD!P131)),IF(H18&lt;=USD!O127,MIN(H18*(USD!Q127+USD!P131)-N6*B6,H18*(USD!P127+USD!P131)),IF(H18&lt;=USD!O128,MIN(H18*(USD!Q128+USD!P131)-N6*B6,H18*(USD!P128+USD!P131)),MIN(H18*(USD!Q129+USD!Q131)-N6*B6,H18*(USD!P129+USD!P131)))))))))</f>
        <v>9167.25</v>
      </c>
    </row>
    <row r="16" spans="1:24" ht="27" customHeight="1">
      <c r="A16" s="38" t="str">
        <f>IF(G5=Q3,"Ежемес. платежи после продажи старой квартиры","Ежемес. платежи gckt снятия обременения")</f>
        <v>Ежемес. платежи после продажи старой квартиры</v>
      </c>
      <c r="B16" s="140">
        <f>IF($G$5=$Q$3,B22*(($G$4/12)/(1-(1+($G$4/12))^-($C$4*12-$G$7))),B14)</f>
        <v>6443.966548470125</v>
      </c>
      <c r="C16" s="23"/>
      <c r="D16" s="140">
        <f>IF($G$5=$Q$3,D22*(($G$4/12)/(1-(1+($G$4/12))^-($C$4*12-$G$7))),D14)</f>
        <v>6443.966548470125</v>
      </c>
      <c r="E16" s="47"/>
      <c r="F16" s="140">
        <f>IF($G$5=$Q$3,F22*(($G$4/12)/(1-(1+($G$4/12))^-($C$4*12-$G$7))),F14)</f>
        <v>6443.966548470125</v>
      </c>
      <c r="G16" s="47"/>
      <c r="H16" s="140">
        <f>IF(X15&lt;X16,X14,IF($G$5=$Q$3,H22*(($G$4/12)/(1-(1+($G$4/12))^-($C$4*12-$G$7))),X14))</f>
        <v>6444.22893360675</v>
      </c>
      <c r="I16" s="47"/>
      <c r="J16" s="140">
        <v>0</v>
      </c>
      <c r="N16" s="81">
        <f>(IF(B14&lt;B16,B16,B14)+$N$6*$B$6)/(USD!$Q$126+IF($G$5=$Q$3,IF(B14&lt;B16,0,USD!$P$131),0))</f>
        <v>19442.222222222223</v>
      </c>
      <c r="O16" s="81">
        <f>IF(B14&lt;B16,B16,B14)/(USD!$P$126+IF($G$5=$Q$3,IF(B14&lt;B16,0,USD!$P$131),0))</f>
        <v>13095.714285714286</v>
      </c>
      <c r="P16" s="81">
        <f>(IF(D14&lt;D16,D16,D14)+$N$6*$B$6)/(USD!$Q$126+IF($G$5=$Q$3,IF(D14&lt;D16,0,USD!$P$131),0))</f>
        <v>19442.222222222223</v>
      </c>
      <c r="Q16" s="81">
        <f>IF(D14&lt;D16,D16,D14)/(USD!$P$126+IF($G$5=$Q$3,IF(D14&lt;D16,0,USD!$P$131),0))</f>
        <v>13095.714285714286</v>
      </c>
      <c r="R16" s="81">
        <f>(IF(F14&lt;F16,F16,F14)+$N$6*$B$6)/(USD!$Q$126+IF($G$5=$Q$3,IF(F14&lt;F16,0,USD!$P$131),0))</f>
        <v>19442.222222222223</v>
      </c>
      <c r="S16" s="81">
        <f>IF(F14&lt;F16,F16,F14)/(USD!$P$126+IF($G$5=$Q$3,IF(F14&lt;F16,0,USD!$P$131),0))</f>
        <v>13095.714285714286</v>
      </c>
      <c r="V16" s="81">
        <f>(IF(J14&lt;J16,J16,J14)+$N$6*$B$6)/(USD!$Q$126+IF($G$5=$Q$3,IF(J14&lt;J16,0,USD!$P$131),0))</f>
        <v>9256.666666666666</v>
      </c>
      <c r="W16" s="81">
        <f>IF(J14&lt;J16,J16,J14)/(USD!$P$126+IF($G$5=$Q$3,IF(J14&lt;J16,0,USD!$P$131),0))</f>
        <v>0</v>
      </c>
      <c r="X16" s="2">
        <f>IF($G$5=$Q$3,H22*(($G$4/12)/(1-(1+($G$4/12))^-($C$4*12-$G$7))),H14)</f>
        <v>6444.22893360675</v>
      </c>
    </row>
    <row r="17" spans="1:23" ht="9" customHeight="1" thickBot="1">
      <c r="A17" s="101"/>
      <c r="B17" s="40"/>
      <c r="C17" s="40"/>
      <c r="D17" s="40"/>
      <c r="E17" s="40"/>
      <c r="F17" s="40"/>
      <c r="G17" s="40"/>
      <c r="H17" s="40"/>
      <c r="I17" s="40"/>
      <c r="J17" s="40"/>
      <c r="N17" s="79"/>
      <c r="O17" s="81">
        <f>USD!$O$126+0.01</f>
        <v>180000.01</v>
      </c>
      <c r="P17" s="79"/>
      <c r="Q17" s="81">
        <f>USD!$O$126+0.01</f>
        <v>180000.01</v>
      </c>
      <c r="R17" s="79"/>
      <c r="S17" s="81">
        <f>USD!$O$126+0.01</f>
        <v>180000.01</v>
      </c>
      <c r="V17" s="79"/>
      <c r="W17" s="81">
        <f>USD!$O$126+0.01</f>
        <v>180000.01</v>
      </c>
    </row>
    <row r="18" spans="1:23" ht="27" customHeight="1" thickBot="1" thickTop="1">
      <c r="A18" s="38" t="s">
        <v>12</v>
      </c>
      <c r="B18" s="182">
        <f>IF(B10=0,0,IF(MAX(N10:O10)&lt;=USD!$O$123,MAX(N10:O10),IF(MAX(N12:O12)&lt;=USD!$O$124,MAX(N11:O12),IF(MAX(N14:O14)&lt;=USD!$O$125,MAX(N13:O14),IF(MAX(N16:O16)&lt;=USD!$O$126,MAX(N15:O16),IF(MAX(N18:O18)&lt;=USD!$O$127,MAX(N17:O18),IF(MAX(N20:O20)&lt;=USD!$O$128,MAX(N19:O20),MAX(N21:O22))))))))</f>
        <v>23330.666666666668</v>
      </c>
      <c r="C18" s="50"/>
      <c r="D18" s="182">
        <f>IF(D10=0,0,IF(MAX(P10:Q10)&lt;=USD!$O$123,MAX(P10:Q10),IF(MAX(P12:Q12)&lt;=USD!$O$124,MAX(P11:Q12),IF(MAX(P14:Q14)&lt;=USD!$O$125,MAX(P13:Q14),IF(MAX(P16:Q16)&lt;=USD!$O$126,MAX(P15:Q16),IF(MAX(P18:Q18)&lt;=USD!$O$127,MAX(P17:Q18),IF(MAX(P20:Q20)&lt;=USD!$O$128,MAX(P19:Q20),MAX(P21:Q22))))))))</f>
        <v>23330.666666666668</v>
      </c>
      <c r="E18" s="40"/>
      <c r="F18" s="182">
        <f>IF(F10=0,0,IF(MAX(R10:S10)&lt;=USD!$O$123,MAX(R10:S10),IF(MAX(R12:S12)&lt;=USD!$O$124,MAX(R11:S12),IF(MAX(R14:S14)&lt;=USD!$O$125,MAX(R13:S14),IF(MAX(R16:S16)&lt;=USD!$O$126,MAX(R15:S16),IF(MAX(R18:S18)&lt;=USD!$O$127,MAX(R17:S18),IF(MAX(R20:S20)&lt;=USD!$O$128,MAX(R19:S20),MAX(R21:S22))))))))</f>
        <v>23330.666666666668</v>
      </c>
      <c r="G18" s="40"/>
      <c r="H18" s="142">
        <v>23331</v>
      </c>
      <c r="I18" s="40"/>
      <c r="J18" s="182">
        <v>0</v>
      </c>
      <c r="N18" s="81">
        <f>(IF(B14&lt;B16,B16,B14)+$N$6*$B$6)/(USD!$Q$127+IF($G$5=$Q$3,IF(B14&lt;B16,0,USD!$P$131),0))</f>
        <v>18418.947368421053</v>
      </c>
      <c r="O18" s="81">
        <f>IF(B14&lt;B16,B16,B14)/(USD!$P$127+IF($G$5=$Q$3,IF(B14&lt;B16,0,USD!$P$131),0))</f>
        <v>12222.666666666666</v>
      </c>
      <c r="P18" s="81">
        <f>(IF(D14&lt;D16,D16,D14)+$N$6*$B$6)/(USD!$Q$127+IF($G$5=$Q$3,IF(D14&lt;D16,0,USD!$P$131),0))</f>
        <v>18418.947368421053</v>
      </c>
      <c r="Q18" s="81">
        <f>IF(D14&lt;D16,D16,D14)/(USD!$P$127+IF($G$5=$Q$3,IF(D14&lt;D16,0,USD!$P$131),0))</f>
        <v>12222.666666666666</v>
      </c>
      <c r="R18" s="81">
        <f>(IF(F14&lt;F16,F16,F14)+$N$6*$B$6)/(USD!$Q$127+IF($G$5=$Q$3,IF(F14&lt;F16,0,USD!$P$131),0))</f>
        <v>18418.947368421053</v>
      </c>
      <c r="S18" s="81">
        <f>IF(F14&lt;F16,F16,F14)/(USD!$P$127+IF($G$5=$Q$3,IF(F14&lt;F16,0,USD!$P$131),0))</f>
        <v>12222.666666666666</v>
      </c>
      <c r="V18" s="81">
        <f>(IF(J14&lt;J16,J16,J14)+$N$6*$B$6)/(USD!$Q$127+IF($G$5=$Q$3,IF(J14&lt;J16,0,USD!$P$131),0))</f>
        <v>8769.473684210527</v>
      </c>
      <c r="W18" s="81">
        <f>IF(J14&lt;J16,J16,J14)/(USD!$P$127+IF($G$5=$Q$3,IF(J14&lt;J16,0,USD!$P$131),0))</f>
        <v>0</v>
      </c>
    </row>
    <row r="19" spans="1:23" ht="9" customHeight="1" thickBot="1" thickTop="1">
      <c r="A19" s="101"/>
      <c r="B19" s="26"/>
      <c r="C19" s="40"/>
      <c r="D19" s="40"/>
      <c r="E19" s="40"/>
      <c r="F19" s="40"/>
      <c r="G19" s="40"/>
      <c r="H19" s="40"/>
      <c r="I19" s="40"/>
      <c r="J19" s="40"/>
      <c r="N19" s="79"/>
      <c r="O19" s="81">
        <f>USD!$O$127+0.01</f>
        <v>270000.01</v>
      </c>
      <c r="P19" s="79"/>
      <c r="Q19" s="81">
        <f>USD!$O$127+0.01</f>
        <v>270000.01</v>
      </c>
      <c r="R19" s="79"/>
      <c r="S19" s="81">
        <f>USD!$O$127+0.01</f>
        <v>270000.01</v>
      </c>
      <c r="V19" s="79"/>
      <c r="W19" s="81">
        <f>USD!$O$127+0.01</f>
        <v>270000.01</v>
      </c>
    </row>
    <row r="20" spans="1:23" ht="27" customHeight="1" thickBot="1" thickTop="1">
      <c r="A20" s="31" t="s">
        <v>13</v>
      </c>
      <c r="B20" s="143">
        <f>ROUND(B10-B12,0)</f>
        <v>0</v>
      </c>
      <c r="C20" s="40"/>
      <c r="D20" s="143">
        <f>ROUND(D10-D12,0)</f>
        <v>0</v>
      </c>
      <c r="E20" s="40"/>
      <c r="F20" s="143">
        <f>ROUND(F10-F12,0)</f>
        <v>0</v>
      </c>
      <c r="G20" s="40"/>
      <c r="H20" s="143">
        <f>ROUND(H10-H12,0)</f>
        <v>0</v>
      </c>
      <c r="I20" s="40"/>
      <c r="J20" s="164">
        <v>0</v>
      </c>
      <c r="N20" s="81">
        <f>(IF(B14&lt;B16,B16,B14)+$N$6*$B$6)/(USD!$Q$128+IF($G$5=$Q$3,IF(B14&lt;B16,0,USD!$P$131),0))</f>
        <v>17498</v>
      </c>
      <c r="O20" s="81">
        <f>IF(B14&lt;B16,B16,B14)/(USD!$P$128+IF($G$5=$Q$3,IF(B14&lt;B16,0,USD!$P$131),0))</f>
        <v>11458.750000000002</v>
      </c>
      <c r="P20" s="81">
        <f>(IF(D14&lt;D16,D16,D14)+$N$6*$B$6)/(USD!$Q$128+IF($G$5=$Q$3,IF(D14&lt;D16,0,USD!$P$131),0))</f>
        <v>17498</v>
      </c>
      <c r="Q20" s="81">
        <f>IF(D14&lt;D16,D16,D14)/(USD!$P$128+IF($G$5=$Q$3,IF(D14&lt;D16,0,USD!$P$131),0))</f>
        <v>11458.750000000002</v>
      </c>
      <c r="R20" s="81">
        <f>(IF(F14&lt;F16,F16,F14)+$N$6*$B$6)/(USD!$Q$128+IF($G$5=$Q$3,IF(F14&lt;F16,0,USD!$P$131),0))</f>
        <v>17498</v>
      </c>
      <c r="S20" s="81">
        <f>IF(F14&lt;F16,F16,F14)/(USD!$P$128+IF($G$5=$Q$3,IF(F14&lt;F16,0,USD!$P$131),0))</f>
        <v>11458.750000000002</v>
      </c>
      <c r="V20" s="81">
        <f>(IF(J14&lt;J16,J16,J14)+$N$6*$B$6)/(USD!$Q$128+IF($G$5=$Q$3,IF(J14&lt;J16,0,USD!$P$131),0))</f>
        <v>8331</v>
      </c>
      <c r="W20" s="81">
        <f>IF(J14&lt;J16,J16,J14)/(USD!$P$128+IF($G$5=$Q$3,IF(J14&lt;J16,0,USD!$P$131),0))</f>
        <v>0</v>
      </c>
    </row>
    <row r="21" spans="14:23" ht="9" customHeight="1" thickTop="1">
      <c r="N21" s="79"/>
      <c r="O21" s="81">
        <f>USD!$O$128+0.01</f>
        <v>360000.01</v>
      </c>
      <c r="P21" s="79"/>
      <c r="Q21" s="81">
        <f>USD!$O$128+0.01</f>
        <v>360000.01</v>
      </c>
      <c r="R21" s="79"/>
      <c r="S21" s="81">
        <f>USD!$O$128+0.01</f>
        <v>360000.01</v>
      </c>
      <c r="V21" s="79"/>
      <c r="W21" s="81">
        <f>USD!$O$128+0.01</f>
        <v>360000.01</v>
      </c>
    </row>
    <row r="22" spans="1:23" ht="27" customHeight="1">
      <c r="A22" s="38" t="str">
        <f>IF(G5=Q3,"ОСЗ после продажи старой квартиры","Сумма ОСЗ для снятия обременения")</f>
        <v>ОСЗ после продажи старой квартиры</v>
      </c>
      <c r="B22" s="90">
        <f>IF($G$5=$Q$3,B12-$G$6*0.9,B12*$O$9)</f>
        <v>515743</v>
      </c>
      <c r="D22" s="90">
        <f>IF($G$5=$Q$3,D12-$G$6*0.9,D12*$O$9)</f>
        <v>515743</v>
      </c>
      <c r="F22" s="90">
        <f>IF($G$5=$Q$3,F12-$G$6*0.9,F12*$O$9)</f>
        <v>515743</v>
      </c>
      <c r="H22" s="90">
        <f>IF($G$5=$Q$3,H12-$G$6*0.9,H12*$O$9)</f>
        <v>515764</v>
      </c>
      <c r="J22" s="90">
        <v>0</v>
      </c>
      <c r="N22" s="81">
        <f>(IF(B14&lt;B16,B16,B14)+$N$6*$B$6)/(USD!$Q$129+IF($G$5=$Q$3,IF(B14&lt;B16,0,USD!$Q$131),0))</f>
        <v>17498</v>
      </c>
      <c r="O22" s="81">
        <f>IF(B14&lt;B16,B16,B14)/(USD!$P$129+IF($G$5=$Q$3,IF(B14&lt;B16,0,USD!$P$131),0))</f>
        <v>10784.705882352942</v>
      </c>
      <c r="P22" s="81">
        <f>(IF(D14&lt;D16,D16,D14)+$N$6*$B$6)/(USD!$Q$129+IF($G$5=$Q$3,IF(D14&lt;D16,0,USD!$Q$131),0))</f>
        <v>17498</v>
      </c>
      <c r="Q22" s="81">
        <f>IF(D14&lt;D16,D16,D14)/(USD!$P$129+IF($G$5=$Q$3,IF(D14&lt;D16,0,USD!$P$131),0))</f>
        <v>10784.705882352942</v>
      </c>
      <c r="R22" s="81">
        <f>(IF(F14&lt;F16,F16,F14)+$N$6*$B$6)/(USD!$Q$129+IF($G$5=$Q$3,IF(F14&lt;F16,0,USD!$Q$131),0))</f>
        <v>17498</v>
      </c>
      <c r="S22" s="81">
        <f>IF(F14&lt;F16,F16,F14)/(USD!$P$129+IF($G$5=$Q$3,IF(F14&lt;F16,0,USD!$P$131),0))</f>
        <v>10784.705882352942</v>
      </c>
      <c r="V22" s="81">
        <f>(IF(J14&lt;J16,J16,J14)+$N$6*$B$6)/(USD!$Q$129+IF($G$5=$Q$3,IF(J14&lt;J16,0,USD!$Q$131),0))</f>
        <v>8331</v>
      </c>
      <c r="W22" s="81">
        <f>IF(J14&lt;J16,J16,J14)/(USD!$P$129+IF($G$5=$Q$3,IF(J14&lt;J16,0,USD!$P$131),0))</f>
        <v>0</v>
      </c>
    </row>
    <row r="23" spans="14:23" ht="12.75">
      <c r="N23" s="11"/>
      <c r="O23" s="11"/>
      <c r="P23" s="11"/>
      <c r="Q23" s="11"/>
      <c r="R23" s="11"/>
      <c r="S23" s="11"/>
      <c r="V23" s="11"/>
      <c r="W23" s="11"/>
    </row>
    <row r="24" spans="8:23" ht="12.75" hidden="1">
      <c r="H24" s="179">
        <f>H18</f>
        <v>23331</v>
      </c>
      <c r="I24" s="79"/>
      <c r="J24" s="79"/>
      <c r="N24" s="11"/>
      <c r="O24" s="11"/>
      <c r="P24" s="11"/>
      <c r="Q24" s="11"/>
      <c r="R24" s="11"/>
      <c r="S24" s="11"/>
      <c r="V24" s="11"/>
      <c r="W24" s="11"/>
    </row>
    <row r="25" spans="8:10" ht="12.75" hidden="1">
      <c r="H25" s="79"/>
      <c r="I25" s="79"/>
      <c r="J25" s="79">
        <f>IF(X15&lt;X16,X14,IF($G$5=$Q$2,H22*(($G$4/12)/(1-(1+($G$4/12))^-($C$4*12-$G$7))),H14))</f>
        <v>9167.25</v>
      </c>
    </row>
    <row r="26" spans="8:27" ht="12.75" hidden="1">
      <c r="H26" s="79">
        <f>J29/(($G$4/12)/(1-(1+($G$4/12))^-($C$4*12-$G$7)))</f>
        <v>546971.3408563235</v>
      </c>
      <c r="I26" s="79"/>
      <c r="J26" s="79"/>
      <c r="R26" s="175" t="str">
        <f>USD!R26</f>
        <v>Готовое</v>
      </c>
      <c r="S26" s="175" t="str">
        <f>USD!S26</f>
        <v>Стройка</v>
      </c>
      <c r="T26" s="175" t="str">
        <f>USD!T26</f>
        <v>Нецелевой</v>
      </c>
      <c r="U26" s="199" t="str">
        <f>USD!U26</f>
        <v>Рефинансирование</v>
      </c>
      <c r="V26" s="199"/>
      <c r="W26" s="199" t="str">
        <f>USD!W26</f>
        <v>Сотрудники</v>
      </c>
      <c r="X26" s="199"/>
      <c r="Y26" s="199" t="str">
        <f>USD!Y26</f>
        <v>УЖУ</v>
      </c>
      <c r="Z26" s="199"/>
      <c r="AA26" s="199"/>
    </row>
    <row r="27" spans="8:27" ht="12.75" hidden="1">
      <c r="H27" s="126">
        <f>H26+G6*0.9</f>
        <v>816971.3408563235</v>
      </c>
      <c r="I27" s="79"/>
      <c r="J27" s="79"/>
      <c r="R27" s="175"/>
      <c r="S27" s="175"/>
      <c r="T27" s="175"/>
      <c r="U27" s="175" t="str">
        <f>USD!U27</f>
        <v>Готовое</v>
      </c>
      <c r="V27" s="175" t="str">
        <f>USD!V27</f>
        <v>Нецелевой</v>
      </c>
      <c r="W27" s="175" t="str">
        <f>USD!W27</f>
        <v>Готовое</v>
      </c>
      <c r="X27" s="175" t="str">
        <f>USD!X27</f>
        <v>Стройка</v>
      </c>
      <c r="Y27" s="175" t="str">
        <f>USD!Y27</f>
        <v>Собств.</v>
      </c>
      <c r="Z27" s="175" t="str">
        <f>USD!Z27</f>
        <v>Собств.+Покуп.</v>
      </c>
      <c r="AA27" s="175" t="str">
        <f>USD!AA27</f>
        <v>Не продается</v>
      </c>
    </row>
    <row r="28" spans="8:27" ht="12.75" hidden="1">
      <c r="H28" s="179">
        <f>H27*$G$4/12</f>
        <v>9531.332309990441</v>
      </c>
      <c r="I28" s="79"/>
      <c r="J28" s="79"/>
      <c r="O28" s="192" t="str">
        <f>USD!O28</f>
        <v>Остальные регионы</v>
      </c>
      <c r="P28" s="88">
        <f>USD!P28</f>
        <v>100</v>
      </c>
      <c r="Q28" s="88">
        <f>USD!Q28</f>
        <v>85</v>
      </c>
      <c r="R28" s="89">
        <f>USD!R28</f>
        <v>0.85</v>
      </c>
      <c r="S28" s="89">
        <f>USD!S28</f>
        <v>0.85</v>
      </c>
      <c r="T28" s="89">
        <f>USD!T28</f>
        <v>0.7</v>
      </c>
      <c r="U28" s="89">
        <f>USD!U28</f>
        <v>0.85</v>
      </c>
      <c r="V28" s="89">
        <f>USD!V28</f>
        <v>0.7</v>
      </c>
      <c r="W28" s="89">
        <f>USD!W28</f>
        <v>0.85</v>
      </c>
      <c r="X28" s="89">
        <f>USD!X28</f>
        <v>0.95</v>
      </c>
      <c r="Y28" s="89">
        <f>USD!Y28</f>
        <v>1</v>
      </c>
      <c r="Z28" s="89">
        <f>USD!Z28</f>
        <v>0.9</v>
      </c>
      <c r="AA28" s="89">
        <f>USD!AA28</f>
        <v>0.85</v>
      </c>
    </row>
    <row r="29" spans="8:27" ht="12.75" hidden="1">
      <c r="H29" s="79"/>
      <c r="I29" s="79"/>
      <c r="J29" s="79">
        <f>IF(H18=0,0,IF(H18&lt;=USD!O123,MIN(H18*USD!Q123-N6*B6,H18*USD!P123),IF(H18&lt;=USD!O124,MIN(H18*USD!Q124-N6*B6,H18*USD!P124),IF(H18&lt;=USD!O125,MIN(H18*USD!Q125-N6*B6,H18*USD!P125),IF(H18&lt;=USD!O126,MIN(H18*USD!Q126-N6*B6,H18*USD!P126),IF(H18&lt;=USD!O127,MIN(H18*USD!Q127-N6*B6,H18*USD!P127),IF(H18&lt;=USD!O128,MIN(H18*USD!Q128-N6*B6,H18*USD!P128),MIN(H18*USD!Q129-N6*B6,H18*USD!P129))))))))</f>
        <v>6834.15</v>
      </c>
      <c r="O29" s="192" t="str">
        <f>USD!O29</f>
        <v>Архангельская область (не включая г. Архангельск)</v>
      </c>
      <c r="P29" s="88">
        <f>USD!P29</f>
        <v>100</v>
      </c>
      <c r="Q29" s="88">
        <f>USD!Q29</f>
        <v>85</v>
      </c>
      <c r="R29" s="89">
        <f>USD!R29</f>
        <v>0.85</v>
      </c>
      <c r="S29" s="89">
        <f>USD!S29</f>
        <v>0.85</v>
      </c>
      <c r="T29" s="89">
        <f>USD!T29</f>
        <v>0.7</v>
      </c>
      <c r="U29" s="89">
        <f>USD!U29</f>
        <v>0.85</v>
      </c>
      <c r="V29" s="89">
        <f>USD!V29</f>
        <v>0.7</v>
      </c>
      <c r="W29" s="89">
        <f>USD!W29</f>
        <v>0.85</v>
      </c>
      <c r="X29" s="89">
        <f>USD!X29</f>
        <v>0.95</v>
      </c>
      <c r="Y29" s="89">
        <f>USD!Y29</f>
        <v>1</v>
      </c>
      <c r="Z29" s="89">
        <f>USD!Z29</f>
        <v>0.9</v>
      </c>
      <c r="AA29" s="89">
        <f>USD!AA29</f>
        <v>0.85</v>
      </c>
    </row>
    <row r="30" spans="8:27" ht="12.75" hidden="1">
      <c r="H30" s="79"/>
      <c r="I30" s="79"/>
      <c r="J30" s="79">
        <f>IF(H18=0,0,IF(H18&lt;=USD!O123,MIN(H18*(USD!Q123+USD!P131)-N6*B6,H18*(USD!P123+USD!P131)),IF(H18&lt;=USD!O124,MIN(H18*(USD!Q124+USD!P131)-N6*B6,H18*(USD!P124+USD!P131)),IF(H18&lt;=USD!O125,MIN(H18*(USD!Q125+USD!P131)-N6*B6,H18*(USD!P125+USD!P131)),IF(H18&lt;=USD!O126,MIN(H18*(USD!Q126+USD!P131)-N6*B6,H18*(USD!P126+USD!P131)),IF(H18&lt;=USD!O127,MIN(H18*(USD!Q127+USD!P131)-N6*B6,H18*(USD!P127+USD!P131)),IF(H18&lt;=USD!O128,MIN(H18*(USD!Q128+USD!P131)-N6*B6,H18*(USD!P128+USD!P131)),MIN(H18*(USD!Q129+USD!Q131)-N6*B6,H18*(USD!P129+USD!P131)))))))))</f>
        <v>9167.25</v>
      </c>
      <c r="O30" s="192" t="str">
        <f>USD!O30</f>
        <v>г. Архангельск</v>
      </c>
      <c r="P30" s="88">
        <f>USD!P30</f>
        <v>100</v>
      </c>
      <c r="Q30" s="88">
        <f>USD!Q30</f>
        <v>85</v>
      </c>
      <c r="R30" s="89">
        <f>USD!R30</f>
        <v>0.9</v>
      </c>
      <c r="S30" s="89">
        <f>USD!S30</f>
        <v>0.85</v>
      </c>
      <c r="T30" s="89">
        <f>USD!T30</f>
        <v>0.7</v>
      </c>
      <c r="U30" s="89">
        <f>USD!U30</f>
        <v>0.85</v>
      </c>
      <c r="V30" s="89">
        <f>USD!V30</f>
        <v>0.7</v>
      </c>
      <c r="W30" s="89">
        <f>USD!W30</f>
        <v>0.9</v>
      </c>
      <c r="X30" s="89">
        <f>USD!X30</f>
        <v>0.95</v>
      </c>
      <c r="Y30" s="89">
        <f>USD!Y30</f>
        <v>1</v>
      </c>
      <c r="Z30" s="89">
        <f>USD!Z30</f>
        <v>0.9</v>
      </c>
      <c r="AA30" s="89">
        <f>USD!AA30</f>
        <v>0.85</v>
      </c>
    </row>
    <row r="31" spans="8:27" ht="12.75" hidden="1">
      <c r="H31" s="79"/>
      <c r="I31" s="79"/>
      <c r="J31" s="79">
        <f>IF($G$5=$Q$3,H22*(($G$4/12)/(1-(1+($G$4/12))^-($C$4*12-$G$7))),H14)</f>
        <v>6444.22893360675</v>
      </c>
      <c r="O31" s="192" t="str">
        <f>USD!O31</f>
        <v>Астраханская область (не включая г. Астрахань)</v>
      </c>
      <c r="P31" s="88">
        <f>USD!P31</f>
        <v>100</v>
      </c>
      <c r="Q31" s="88">
        <f>USD!Q31</f>
        <v>85</v>
      </c>
      <c r="R31" s="89">
        <f>USD!R31</f>
        <v>0.85</v>
      </c>
      <c r="S31" s="89">
        <f>USD!S31</f>
        <v>0.85</v>
      </c>
      <c r="T31" s="89">
        <f>USD!T31</f>
        <v>0.7</v>
      </c>
      <c r="U31" s="89">
        <f>USD!U31</f>
        <v>0.85</v>
      </c>
      <c r="V31" s="89">
        <f>USD!V31</f>
        <v>0.7</v>
      </c>
      <c r="W31" s="89">
        <f>USD!W31</f>
        <v>0.85</v>
      </c>
      <c r="X31" s="89">
        <f>USD!X31</f>
        <v>0.95</v>
      </c>
      <c r="Y31" s="89">
        <f>USD!Y31</f>
        <v>1</v>
      </c>
      <c r="Z31" s="89">
        <f>USD!Z31</f>
        <v>0.9</v>
      </c>
      <c r="AA31" s="89">
        <f>USD!AA31</f>
        <v>0.85</v>
      </c>
    </row>
    <row r="32" spans="15:27" ht="12.75">
      <c r="O32" s="192" t="str">
        <f>USD!O32</f>
        <v>г. Астрахань</v>
      </c>
      <c r="P32" s="88">
        <f>USD!P32</f>
        <v>100</v>
      </c>
      <c r="Q32" s="88">
        <f>USD!Q32</f>
        <v>85</v>
      </c>
      <c r="R32" s="89">
        <f>USD!R32</f>
        <v>0.9</v>
      </c>
      <c r="S32" s="89">
        <f>USD!S32</f>
        <v>0.85</v>
      </c>
      <c r="T32" s="89">
        <f>USD!T32</f>
        <v>0.7</v>
      </c>
      <c r="U32" s="89">
        <f>USD!U32</f>
        <v>0.85</v>
      </c>
      <c r="V32" s="89">
        <f>USD!V32</f>
        <v>0.7</v>
      </c>
      <c r="W32" s="89">
        <f>USD!W32</f>
        <v>0.9</v>
      </c>
      <c r="X32" s="89">
        <f>USD!X32</f>
        <v>0.95</v>
      </c>
      <c r="Y32" s="89">
        <f>USD!Y32</f>
        <v>1</v>
      </c>
      <c r="Z32" s="89">
        <f>USD!Z32</f>
        <v>0.9</v>
      </c>
      <c r="AA32" s="89">
        <f>USD!AA32</f>
        <v>0.85</v>
      </c>
    </row>
    <row r="33" spans="15:27" ht="12.75">
      <c r="O33" s="192" t="str">
        <f>USD!O33</f>
        <v>Алтайский край (не включая г. Барнаул)</v>
      </c>
      <c r="P33" s="88">
        <f>USD!P33</f>
        <v>100</v>
      </c>
      <c r="Q33" s="88">
        <f>USD!Q33</f>
        <v>85</v>
      </c>
      <c r="R33" s="89">
        <f>USD!R33</f>
        <v>0.85</v>
      </c>
      <c r="S33" s="89">
        <f>USD!S33</f>
        <v>0.85</v>
      </c>
      <c r="T33" s="89">
        <f>USD!T33</f>
        <v>0.7</v>
      </c>
      <c r="U33" s="89">
        <f>USD!U33</f>
        <v>0.85</v>
      </c>
      <c r="V33" s="89">
        <f>USD!V33</f>
        <v>0.7</v>
      </c>
      <c r="W33" s="89">
        <f>USD!W33</f>
        <v>0.85</v>
      </c>
      <c r="X33" s="89">
        <f>USD!X33</f>
        <v>0.95</v>
      </c>
      <c r="Y33" s="89">
        <f>USD!Y33</f>
        <v>1</v>
      </c>
      <c r="Z33" s="89">
        <f>USD!Z33</f>
        <v>0.9</v>
      </c>
      <c r="AA33" s="89">
        <f>USD!AA33</f>
        <v>0.85</v>
      </c>
    </row>
    <row r="34" spans="15:27" ht="12.75">
      <c r="O34" s="192" t="str">
        <f>USD!O34</f>
        <v>г. Барнаул</v>
      </c>
      <c r="P34" s="88">
        <f>USD!P34</f>
        <v>100</v>
      </c>
      <c r="Q34" s="88">
        <f>USD!Q34</f>
        <v>85</v>
      </c>
      <c r="R34" s="89">
        <f>USD!R34</f>
        <v>0.9</v>
      </c>
      <c r="S34" s="89">
        <f>USD!S34</f>
        <v>0.85</v>
      </c>
      <c r="T34" s="89">
        <f>USD!T34</f>
        <v>0.7</v>
      </c>
      <c r="U34" s="89">
        <f>USD!U34</f>
        <v>0.85</v>
      </c>
      <c r="V34" s="89">
        <f>USD!V34</f>
        <v>0.7</v>
      </c>
      <c r="W34" s="89">
        <f>USD!W34</f>
        <v>0.9</v>
      </c>
      <c r="X34" s="89">
        <f>USD!X34</f>
        <v>0.95</v>
      </c>
      <c r="Y34" s="89">
        <f>USD!Y34</f>
        <v>1</v>
      </c>
      <c r="Z34" s="89">
        <f>USD!Z34</f>
        <v>0.9</v>
      </c>
      <c r="AA34" s="89">
        <f>USD!AA34</f>
        <v>0.85</v>
      </c>
    </row>
    <row r="35" spans="15:27" ht="12.75">
      <c r="O35" s="192" t="str">
        <f>USD!O35</f>
        <v>Белгородская область (не включая г. Белгород)</v>
      </c>
      <c r="P35" s="88">
        <f>USD!P35</f>
        <v>100</v>
      </c>
      <c r="Q35" s="88">
        <f>USD!Q35</f>
        <v>85</v>
      </c>
      <c r="R35" s="89">
        <f>USD!R35</f>
        <v>0.85</v>
      </c>
      <c r="S35" s="89">
        <f>USD!S35</f>
        <v>0.85</v>
      </c>
      <c r="T35" s="89">
        <f>USD!T35</f>
        <v>0.7</v>
      </c>
      <c r="U35" s="89">
        <f>USD!U35</f>
        <v>0.85</v>
      </c>
      <c r="V35" s="89">
        <f>USD!V35</f>
        <v>0.7</v>
      </c>
      <c r="W35" s="89">
        <f>USD!W35</f>
        <v>0.85</v>
      </c>
      <c r="X35" s="89">
        <f>USD!X35</f>
        <v>0.95</v>
      </c>
      <c r="Y35" s="89">
        <f>USD!Y35</f>
        <v>1</v>
      </c>
      <c r="Z35" s="89">
        <f>USD!Z35</f>
        <v>0.9</v>
      </c>
      <c r="AA35" s="89">
        <f>USD!AA35</f>
        <v>0.85</v>
      </c>
    </row>
    <row r="36" spans="15:27" ht="12.75">
      <c r="O36" s="192" t="str">
        <f>USD!O36</f>
        <v>г. Белгород</v>
      </c>
      <c r="P36" s="88">
        <f>USD!P36</f>
        <v>100</v>
      </c>
      <c r="Q36" s="88">
        <f>USD!Q36</f>
        <v>85</v>
      </c>
      <c r="R36" s="89">
        <f>USD!R36</f>
        <v>0.9</v>
      </c>
      <c r="S36" s="89">
        <f>USD!S36</f>
        <v>0.85</v>
      </c>
      <c r="T36" s="89">
        <f>USD!T36</f>
        <v>0.7</v>
      </c>
      <c r="U36" s="89">
        <f>USD!U36</f>
        <v>0.85</v>
      </c>
      <c r="V36" s="89">
        <f>USD!V36</f>
        <v>0.7</v>
      </c>
      <c r="W36" s="89">
        <f>USD!W36</f>
        <v>0.9</v>
      </c>
      <c r="X36" s="89">
        <f>USD!X36</f>
        <v>0.95</v>
      </c>
      <c r="Y36" s="89">
        <f>USD!Y36</f>
        <v>1</v>
      </c>
      <c r="Z36" s="89">
        <f>USD!Z36</f>
        <v>0.9</v>
      </c>
      <c r="AA36" s="89">
        <f>USD!AA36</f>
        <v>0.85</v>
      </c>
    </row>
    <row r="37" spans="15:27" ht="12.75">
      <c r="O37" s="192" t="str">
        <f>USD!O37</f>
        <v>Владимирская область (не включая г. Владимир)</v>
      </c>
      <c r="P37" s="88">
        <f>USD!P37</f>
        <v>100</v>
      </c>
      <c r="Q37" s="88">
        <f>USD!Q37</f>
        <v>85</v>
      </c>
      <c r="R37" s="89">
        <f>USD!R37</f>
        <v>0.85</v>
      </c>
      <c r="S37" s="89">
        <f>USD!S37</f>
        <v>0.85</v>
      </c>
      <c r="T37" s="89">
        <f>USD!T37</f>
        <v>0.7</v>
      </c>
      <c r="U37" s="89">
        <f>USD!U37</f>
        <v>0.85</v>
      </c>
      <c r="V37" s="89">
        <f>USD!V37</f>
        <v>0.7</v>
      </c>
      <c r="W37" s="89">
        <f>USD!W37</f>
        <v>0.85</v>
      </c>
      <c r="X37" s="89">
        <f>USD!X37</f>
        <v>0.95</v>
      </c>
      <c r="Y37" s="89">
        <f>USD!Y37</f>
        <v>1</v>
      </c>
      <c r="Z37" s="89">
        <f>USD!Z37</f>
        <v>0.9</v>
      </c>
      <c r="AA37" s="89">
        <f>USD!AA37</f>
        <v>0.85</v>
      </c>
    </row>
    <row r="38" spans="15:27" ht="12.75">
      <c r="O38" s="192" t="str">
        <f>USD!O38</f>
        <v>г. Владимир</v>
      </c>
      <c r="P38" s="88">
        <f>USD!P38</f>
        <v>100</v>
      </c>
      <c r="Q38" s="88">
        <f>USD!Q38</f>
        <v>85</v>
      </c>
      <c r="R38" s="89">
        <f>USD!R38</f>
        <v>0.9</v>
      </c>
      <c r="S38" s="89">
        <f>USD!S38</f>
        <v>0.85</v>
      </c>
      <c r="T38" s="89">
        <f>USD!T38</f>
        <v>0.7</v>
      </c>
      <c r="U38" s="89">
        <f>USD!U38</f>
        <v>0.85</v>
      </c>
      <c r="V38" s="89">
        <f>USD!V38</f>
        <v>0.7</v>
      </c>
      <c r="W38" s="89">
        <f>USD!W38</f>
        <v>0.9</v>
      </c>
      <c r="X38" s="89">
        <f>USD!X38</f>
        <v>0.95</v>
      </c>
      <c r="Y38" s="89">
        <f>USD!Y38</f>
        <v>1</v>
      </c>
      <c r="Z38" s="89">
        <f>USD!Z38</f>
        <v>0.9</v>
      </c>
      <c r="AA38" s="89">
        <f>USD!AA38</f>
        <v>0.85</v>
      </c>
    </row>
    <row r="39" spans="15:27" ht="12.75">
      <c r="O39" s="192" t="str">
        <f>USD!O39</f>
        <v>Волгоградская область (не включая г. Волгоград)</v>
      </c>
      <c r="P39" s="88">
        <f>USD!P39</f>
        <v>100</v>
      </c>
      <c r="Q39" s="88">
        <f>USD!Q39</f>
        <v>85</v>
      </c>
      <c r="R39" s="89">
        <f>USD!R39</f>
        <v>0.85</v>
      </c>
      <c r="S39" s="89">
        <f>USD!S39</f>
        <v>0.85</v>
      </c>
      <c r="T39" s="89">
        <f>USD!T39</f>
        <v>0.7</v>
      </c>
      <c r="U39" s="89">
        <f>USD!U39</f>
        <v>0.85</v>
      </c>
      <c r="V39" s="89">
        <f>USD!V39</f>
        <v>0.7</v>
      </c>
      <c r="W39" s="89">
        <f>USD!W39</f>
        <v>0.85</v>
      </c>
      <c r="X39" s="89">
        <f>USD!X39</f>
        <v>0.95</v>
      </c>
      <c r="Y39" s="89">
        <f>USD!Y39</f>
        <v>1</v>
      </c>
      <c r="Z39" s="89">
        <f>USD!Z39</f>
        <v>0.9</v>
      </c>
      <c r="AA39" s="89">
        <f>USD!AA39</f>
        <v>0.85</v>
      </c>
    </row>
    <row r="40" spans="15:27" ht="12.75">
      <c r="O40" s="192" t="str">
        <f>USD!O40</f>
        <v>г. Волгоград</v>
      </c>
      <c r="P40" s="88">
        <f>USD!P40</f>
        <v>100</v>
      </c>
      <c r="Q40" s="88">
        <f>USD!Q40</f>
        <v>85</v>
      </c>
      <c r="R40" s="89">
        <f>USD!R40</f>
        <v>0.9</v>
      </c>
      <c r="S40" s="89">
        <f>USD!S40</f>
        <v>0.85</v>
      </c>
      <c r="T40" s="89">
        <f>USD!T40</f>
        <v>0.7</v>
      </c>
      <c r="U40" s="89">
        <f>USD!U40</f>
        <v>0.85</v>
      </c>
      <c r="V40" s="89">
        <f>USD!V40</f>
        <v>0.7</v>
      </c>
      <c r="W40" s="89">
        <f>USD!W40</f>
        <v>0.9</v>
      </c>
      <c r="X40" s="89">
        <f>USD!X40</f>
        <v>0.95</v>
      </c>
      <c r="Y40" s="89">
        <f>USD!Y40</f>
        <v>1</v>
      </c>
      <c r="Z40" s="89">
        <f>USD!Z40</f>
        <v>0.9</v>
      </c>
      <c r="AA40" s="89">
        <f>USD!AA40</f>
        <v>0.85</v>
      </c>
    </row>
    <row r="41" spans="15:27" ht="12.75">
      <c r="O41" s="192" t="str">
        <f>USD!O41</f>
        <v>г. Вологда</v>
      </c>
      <c r="P41" s="88">
        <f>USD!P41</f>
        <v>120</v>
      </c>
      <c r="Q41" s="88">
        <f>USD!Q41</f>
        <v>100</v>
      </c>
      <c r="R41" s="89">
        <f>USD!R41</f>
        <v>0.9</v>
      </c>
      <c r="S41" s="89">
        <f>USD!S41</f>
        <v>0.85</v>
      </c>
      <c r="T41" s="89">
        <f>USD!T41</f>
        <v>0.7</v>
      </c>
      <c r="U41" s="89">
        <f>USD!U41</f>
        <v>0.85</v>
      </c>
      <c r="V41" s="89">
        <f>USD!V41</f>
        <v>0.7</v>
      </c>
      <c r="W41" s="89">
        <f>USD!W41</f>
        <v>0.9</v>
      </c>
      <c r="X41" s="89">
        <f>USD!X41</f>
        <v>0.95</v>
      </c>
      <c r="Y41" s="89">
        <f>USD!Y41</f>
        <v>1</v>
      </c>
      <c r="Z41" s="89">
        <f>USD!Z41</f>
        <v>0.9</v>
      </c>
      <c r="AA41" s="89">
        <f>USD!AA41</f>
        <v>0.85</v>
      </c>
    </row>
    <row r="42" spans="15:27" ht="12.75">
      <c r="O42" s="192" t="str">
        <f>USD!O42</f>
        <v>Воронежская область (включая г. Воронеж)</v>
      </c>
      <c r="P42" s="88">
        <f>USD!P42</f>
        <v>100</v>
      </c>
      <c r="Q42" s="88">
        <f>USD!Q42</f>
        <v>85</v>
      </c>
      <c r="R42" s="89">
        <f>USD!R42</f>
        <v>0.85</v>
      </c>
      <c r="S42" s="89">
        <f>USD!S42</f>
        <v>0.85</v>
      </c>
      <c r="T42" s="89">
        <f>USD!T42</f>
        <v>0.7</v>
      </c>
      <c r="U42" s="89">
        <f>USD!U42</f>
        <v>0.85</v>
      </c>
      <c r="V42" s="89">
        <f>USD!V42</f>
        <v>0.7</v>
      </c>
      <c r="W42" s="89">
        <f>USD!W42</f>
        <v>0.85</v>
      </c>
      <c r="X42" s="89">
        <f>USD!X42</f>
        <v>0.95</v>
      </c>
      <c r="Y42" s="89">
        <f>USD!Y42</f>
        <v>1</v>
      </c>
      <c r="Z42" s="89">
        <f>USD!Z42</f>
        <v>0.9</v>
      </c>
      <c r="AA42" s="89">
        <f>USD!AA42</f>
        <v>0.85</v>
      </c>
    </row>
    <row r="43" spans="15:27" ht="12.75">
      <c r="O43" s="192" t="str">
        <f>USD!O43</f>
        <v>Иркутская область (не включая г. Иркутск и г. Ангарск)</v>
      </c>
      <c r="P43" s="88">
        <f>USD!P43</f>
        <v>120</v>
      </c>
      <c r="Q43" s="88">
        <f>USD!Q43</f>
        <v>100</v>
      </c>
      <c r="R43" s="89">
        <f>USD!R43</f>
        <v>0.85</v>
      </c>
      <c r="S43" s="89">
        <f>USD!S43</f>
        <v>0.85</v>
      </c>
      <c r="T43" s="89">
        <f>USD!T43</f>
        <v>0.7</v>
      </c>
      <c r="U43" s="89">
        <f>USD!U43</f>
        <v>0.85</v>
      </c>
      <c r="V43" s="89">
        <f>USD!V43</f>
        <v>0.7</v>
      </c>
      <c r="W43" s="89">
        <f>USD!W43</f>
        <v>0.85</v>
      </c>
      <c r="X43" s="89">
        <f>USD!X43</f>
        <v>0.95</v>
      </c>
      <c r="Y43" s="89">
        <f>USD!Y43</f>
        <v>1</v>
      </c>
      <c r="Z43" s="89">
        <f>USD!Z43</f>
        <v>0.9</v>
      </c>
      <c r="AA43" s="89">
        <f>USD!AA43</f>
        <v>0.85</v>
      </c>
    </row>
    <row r="44" spans="15:27" ht="12.75">
      <c r="O44" s="192" t="str">
        <f>USD!O44</f>
        <v>г. Иркутск</v>
      </c>
      <c r="P44" s="88">
        <f>USD!P44</f>
        <v>120</v>
      </c>
      <c r="Q44" s="88">
        <f>USD!Q44</f>
        <v>100</v>
      </c>
      <c r="R44" s="89">
        <f>USD!R44</f>
        <v>0.9</v>
      </c>
      <c r="S44" s="89">
        <f>USD!S44</f>
        <v>0.85</v>
      </c>
      <c r="T44" s="89">
        <f>USD!T44</f>
        <v>0.7</v>
      </c>
      <c r="U44" s="89">
        <f>USD!U44</f>
        <v>0.85</v>
      </c>
      <c r="V44" s="89">
        <f>USD!V44</f>
        <v>0.7</v>
      </c>
      <c r="W44" s="89">
        <f>USD!W44</f>
        <v>0.9</v>
      </c>
      <c r="X44" s="89">
        <f>USD!X44</f>
        <v>0.95</v>
      </c>
      <c r="Y44" s="89">
        <f>USD!Y44</f>
        <v>1</v>
      </c>
      <c r="Z44" s="89">
        <f>USD!Z44</f>
        <v>0.9</v>
      </c>
      <c r="AA44" s="89">
        <f>USD!AA44</f>
        <v>0.85</v>
      </c>
    </row>
    <row r="45" spans="15:27" ht="12.75">
      <c r="O45" s="192" t="str">
        <f>USD!O45</f>
        <v>г. Ангарск</v>
      </c>
      <c r="P45" s="88">
        <f>USD!P45</f>
        <v>120</v>
      </c>
      <c r="Q45" s="88">
        <f>USD!Q45</f>
        <v>100</v>
      </c>
      <c r="R45" s="89">
        <f>USD!R45</f>
        <v>0.9</v>
      </c>
      <c r="S45" s="89">
        <f>USD!S45</f>
        <v>0.85</v>
      </c>
      <c r="T45" s="89">
        <f>USD!T45</f>
        <v>0.7</v>
      </c>
      <c r="U45" s="89">
        <f>USD!U45</f>
        <v>0.85</v>
      </c>
      <c r="V45" s="89">
        <f>USD!V45</f>
        <v>0.7</v>
      </c>
      <c r="W45" s="89">
        <f>USD!W45</f>
        <v>0.9</v>
      </c>
      <c r="X45" s="89">
        <f>USD!X45</f>
        <v>0.95</v>
      </c>
      <c r="Y45" s="89">
        <f>USD!Y45</f>
        <v>1</v>
      </c>
      <c r="Z45" s="89">
        <f>USD!Z45</f>
        <v>0.9</v>
      </c>
      <c r="AA45" s="89">
        <f>USD!AA45</f>
        <v>0.85</v>
      </c>
    </row>
    <row r="46" spans="15:27" ht="12.75">
      <c r="O46" s="192" t="str">
        <f>USD!O46</f>
        <v>Калининградская область (не включая г. Калининград)</v>
      </c>
      <c r="P46" s="88">
        <f>USD!P46</f>
        <v>100</v>
      </c>
      <c r="Q46" s="88">
        <f>USD!Q46</f>
        <v>85</v>
      </c>
      <c r="R46" s="89">
        <f>USD!R46</f>
        <v>0.85</v>
      </c>
      <c r="S46" s="89">
        <f>USD!S46</f>
        <v>0.85</v>
      </c>
      <c r="T46" s="89">
        <f>USD!T46</f>
        <v>0.7</v>
      </c>
      <c r="U46" s="89">
        <f>USD!U46</f>
        <v>0.85</v>
      </c>
      <c r="V46" s="89">
        <f>USD!V46</f>
        <v>0.7</v>
      </c>
      <c r="W46" s="89">
        <f>USD!W46</f>
        <v>0.85</v>
      </c>
      <c r="X46" s="89">
        <f>USD!X46</f>
        <v>0.95</v>
      </c>
      <c r="Y46" s="89">
        <f>USD!Y46</f>
        <v>1</v>
      </c>
      <c r="Z46" s="89">
        <f>USD!Z46</f>
        <v>0.9</v>
      </c>
      <c r="AA46" s="89">
        <f>USD!AA46</f>
        <v>0.85</v>
      </c>
    </row>
    <row r="47" spans="15:27" ht="12.75">
      <c r="O47" s="192" t="str">
        <f>USD!O47</f>
        <v>г. Калининград</v>
      </c>
      <c r="P47" s="88">
        <f>USD!P47</f>
        <v>100</v>
      </c>
      <c r="Q47" s="88">
        <f>USD!Q47</f>
        <v>85</v>
      </c>
      <c r="R47" s="89">
        <f>USD!R47</f>
        <v>0.9</v>
      </c>
      <c r="S47" s="89">
        <f>USD!S47</f>
        <v>0.85</v>
      </c>
      <c r="T47" s="89">
        <f>USD!T47</f>
        <v>0.7</v>
      </c>
      <c r="U47" s="89">
        <f>USD!U47</f>
        <v>0.85</v>
      </c>
      <c r="V47" s="89">
        <f>USD!V47</f>
        <v>0.7</v>
      </c>
      <c r="W47" s="89">
        <f>USD!W47</f>
        <v>0.9</v>
      </c>
      <c r="X47" s="89">
        <f>USD!X47</f>
        <v>0.95</v>
      </c>
      <c r="Y47" s="89">
        <f>USD!Y47</f>
        <v>1</v>
      </c>
      <c r="Z47" s="89">
        <f>USD!Z47</f>
        <v>0.9</v>
      </c>
      <c r="AA47" s="89">
        <f>USD!AA47</f>
        <v>0.85</v>
      </c>
    </row>
    <row r="48" spans="15:27" ht="12.75">
      <c r="O48" s="192" t="str">
        <f>USD!O48</f>
        <v>Кемеровская область (не включая г. Кемерово)</v>
      </c>
      <c r="P48" s="88">
        <f>USD!P48</f>
        <v>100</v>
      </c>
      <c r="Q48" s="88">
        <f>USD!Q48</f>
        <v>85</v>
      </c>
      <c r="R48" s="89">
        <f>USD!R48</f>
        <v>0.85</v>
      </c>
      <c r="S48" s="89">
        <f>USD!S48</f>
        <v>0.85</v>
      </c>
      <c r="T48" s="89">
        <f>USD!T48</f>
        <v>0.7</v>
      </c>
      <c r="U48" s="89">
        <f>USD!U48</f>
        <v>0.85</v>
      </c>
      <c r="V48" s="89">
        <f>USD!V48</f>
        <v>0.7</v>
      </c>
      <c r="W48" s="89">
        <f>USD!W48</f>
        <v>0.85</v>
      </c>
      <c r="X48" s="89">
        <f>USD!X48</f>
        <v>0.95</v>
      </c>
      <c r="Y48" s="89">
        <f>USD!Y48</f>
        <v>1</v>
      </c>
      <c r="Z48" s="89">
        <f>USD!Z48</f>
        <v>0.9</v>
      </c>
      <c r="AA48" s="89">
        <f>USD!AA48</f>
        <v>0.85</v>
      </c>
    </row>
    <row r="49" spans="15:27" ht="12.75">
      <c r="O49" s="192" t="str">
        <f>USD!O49</f>
        <v>г. Кемерово</v>
      </c>
      <c r="P49" s="88">
        <f>USD!P49</f>
        <v>100</v>
      </c>
      <c r="Q49" s="88">
        <f>USD!Q49</f>
        <v>85</v>
      </c>
      <c r="R49" s="89">
        <f>USD!R49</f>
        <v>0.9</v>
      </c>
      <c r="S49" s="89">
        <f>USD!S49</f>
        <v>0.85</v>
      </c>
      <c r="T49" s="89">
        <f>USD!T49</f>
        <v>0.7</v>
      </c>
      <c r="U49" s="89">
        <f>USD!U49</f>
        <v>0.85</v>
      </c>
      <c r="V49" s="89">
        <f>USD!V49</f>
        <v>0.7</v>
      </c>
      <c r="W49" s="89">
        <f>USD!W49</f>
        <v>0.9</v>
      </c>
      <c r="X49" s="89">
        <f>USD!X49</f>
        <v>0.95</v>
      </c>
      <c r="Y49" s="89">
        <f>USD!Y49</f>
        <v>1</v>
      </c>
      <c r="Z49" s="89">
        <f>USD!Z49</f>
        <v>0.9</v>
      </c>
      <c r="AA49" s="89">
        <f>USD!AA49</f>
        <v>0.85</v>
      </c>
    </row>
    <row r="50" spans="15:27" ht="12.75">
      <c r="O50" s="192" t="str">
        <f>USD!O50</f>
        <v>Костромская область (не включая г. Кострома)</v>
      </c>
      <c r="P50" s="88">
        <f>USD!P50</f>
        <v>100</v>
      </c>
      <c r="Q50" s="88">
        <f>USD!Q50</f>
        <v>85</v>
      </c>
      <c r="R50" s="89">
        <f>USD!R50</f>
        <v>0.85</v>
      </c>
      <c r="S50" s="89">
        <f>USD!S50</f>
        <v>0.85</v>
      </c>
      <c r="T50" s="89">
        <f>USD!T50</f>
        <v>0.7</v>
      </c>
      <c r="U50" s="89">
        <f>USD!U50</f>
        <v>0.85</v>
      </c>
      <c r="V50" s="89">
        <f>USD!V50</f>
        <v>0.7</v>
      </c>
      <c r="W50" s="89">
        <f>USD!W50</f>
        <v>0.85</v>
      </c>
      <c r="X50" s="89">
        <f>USD!X50</f>
        <v>0.95</v>
      </c>
      <c r="Y50" s="89">
        <f>USD!Y50</f>
        <v>1</v>
      </c>
      <c r="Z50" s="89">
        <f>USD!Z50</f>
        <v>0.9</v>
      </c>
      <c r="AA50" s="89">
        <f>USD!AA50</f>
        <v>0.85</v>
      </c>
    </row>
    <row r="51" spans="15:27" ht="12.75">
      <c r="O51" s="192" t="str">
        <f>USD!O51</f>
        <v>г. Кострома</v>
      </c>
      <c r="P51" s="88">
        <f>USD!P51</f>
        <v>100</v>
      </c>
      <c r="Q51" s="88">
        <f>USD!Q51</f>
        <v>85</v>
      </c>
      <c r="R51" s="89">
        <f>USD!R51</f>
        <v>0.9</v>
      </c>
      <c r="S51" s="89">
        <f>USD!S51</f>
        <v>0.85</v>
      </c>
      <c r="T51" s="89">
        <f>USD!T51</f>
        <v>0.7</v>
      </c>
      <c r="U51" s="89">
        <f>USD!U51</f>
        <v>0.85</v>
      </c>
      <c r="V51" s="89">
        <f>USD!V51</f>
        <v>0.7</v>
      </c>
      <c r="W51" s="89">
        <f>USD!W51</f>
        <v>0.9</v>
      </c>
      <c r="X51" s="89">
        <f>USD!X51</f>
        <v>0.95</v>
      </c>
      <c r="Y51" s="89">
        <f>USD!Y51</f>
        <v>1</v>
      </c>
      <c r="Z51" s="89">
        <f>USD!Z51</f>
        <v>0.9</v>
      </c>
      <c r="AA51" s="89">
        <f>USD!AA51</f>
        <v>0.85</v>
      </c>
    </row>
    <row r="52" spans="15:27" ht="12.75">
      <c r="O52" s="192" t="str">
        <f>USD!O52</f>
        <v>Краснодарский край (не включая г. Краснодар и г. Сочи)</v>
      </c>
      <c r="P52" s="88">
        <f>USD!P52</f>
        <v>100</v>
      </c>
      <c r="Q52" s="88">
        <f>USD!Q52</f>
        <v>85</v>
      </c>
      <c r="R52" s="89">
        <f>USD!R52</f>
        <v>0.85</v>
      </c>
      <c r="S52" s="89">
        <f>USD!S52</f>
        <v>0.85</v>
      </c>
      <c r="T52" s="89">
        <f>USD!T52</f>
        <v>0.7</v>
      </c>
      <c r="U52" s="89">
        <f>USD!U52</f>
        <v>0.85</v>
      </c>
      <c r="V52" s="89">
        <f>USD!V52</f>
        <v>0.7</v>
      </c>
      <c r="W52" s="89">
        <f>USD!W52</f>
        <v>0.85</v>
      </c>
      <c r="X52" s="89">
        <f>USD!X52</f>
        <v>0.95</v>
      </c>
      <c r="Y52" s="89">
        <f>USD!Y52</f>
        <v>1</v>
      </c>
      <c r="Z52" s="89">
        <f>USD!Z52</f>
        <v>0.9</v>
      </c>
      <c r="AA52" s="89">
        <f>USD!AA52</f>
        <v>0.85</v>
      </c>
    </row>
    <row r="53" spans="15:27" ht="12.75">
      <c r="O53" s="192" t="str">
        <f>USD!O53</f>
        <v>г. Краснодар</v>
      </c>
      <c r="P53" s="88">
        <f>USD!P53</f>
        <v>100</v>
      </c>
      <c r="Q53" s="88">
        <f>USD!Q53</f>
        <v>85</v>
      </c>
      <c r="R53" s="89">
        <f>USD!R53</f>
        <v>0.9</v>
      </c>
      <c r="S53" s="89">
        <f>USD!S53</f>
        <v>0.85</v>
      </c>
      <c r="T53" s="89">
        <f>USD!T53</f>
        <v>0.7</v>
      </c>
      <c r="U53" s="89">
        <f>USD!U53</f>
        <v>0.85</v>
      </c>
      <c r="V53" s="89">
        <f>USD!V53</f>
        <v>0.7</v>
      </c>
      <c r="W53" s="89">
        <f>USD!W53</f>
        <v>0.9</v>
      </c>
      <c r="X53" s="89">
        <f>USD!X53</f>
        <v>0.95</v>
      </c>
      <c r="Y53" s="89">
        <f>USD!Y53</f>
        <v>1</v>
      </c>
      <c r="Z53" s="89">
        <f>USD!Z53</f>
        <v>0.9</v>
      </c>
      <c r="AA53" s="89">
        <f>USD!AA53</f>
        <v>0.85</v>
      </c>
    </row>
    <row r="54" spans="15:27" ht="12.75">
      <c r="O54" s="192" t="str">
        <f>USD!O54</f>
        <v>г. Сочи</v>
      </c>
      <c r="P54" s="88">
        <f>USD!P54</f>
        <v>100</v>
      </c>
      <c r="Q54" s="88">
        <f>USD!Q54</f>
        <v>85</v>
      </c>
      <c r="R54" s="89">
        <f>USD!R54</f>
        <v>0.9</v>
      </c>
      <c r="S54" s="89">
        <f>USD!S54</f>
        <v>0.85</v>
      </c>
      <c r="T54" s="89">
        <f>USD!T54</f>
        <v>0.7</v>
      </c>
      <c r="U54" s="89">
        <f>USD!U54</f>
        <v>0.85</v>
      </c>
      <c r="V54" s="89">
        <f>USD!V54</f>
        <v>0.7</v>
      </c>
      <c r="W54" s="89">
        <f>USD!W54</f>
        <v>0.9</v>
      </c>
      <c r="X54" s="89">
        <f>USD!X54</f>
        <v>0.95</v>
      </c>
      <c r="Y54" s="89">
        <f>USD!Y54</f>
        <v>1</v>
      </c>
      <c r="Z54" s="89">
        <f>USD!Z54</f>
        <v>0.9</v>
      </c>
      <c r="AA54" s="89">
        <f>USD!AA54</f>
        <v>0.85</v>
      </c>
    </row>
    <row r="55" spans="15:27" ht="12.75">
      <c r="O55" s="192" t="str">
        <f>USD!O55</f>
        <v>Красноярский край (не включая г. Красноярск)</v>
      </c>
      <c r="P55" s="88">
        <f>USD!P55</f>
        <v>100</v>
      </c>
      <c r="Q55" s="88">
        <f>USD!Q55</f>
        <v>85</v>
      </c>
      <c r="R55" s="89">
        <f>USD!R55</f>
        <v>0.85</v>
      </c>
      <c r="S55" s="89">
        <f>USD!S55</f>
        <v>0.85</v>
      </c>
      <c r="T55" s="89">
        <f>USD!T55</f>
        <v>0.7</v>
      </c>
      <c r="U55" s="89">
        <f>USD!U55</f>
        <v>0.85</v>
      </c>
      <c r="V55" s="89">
        <f>USD!V55</f>
        <v>0.7</v>
      </c>
      <c r="W55" s="89">
        <f>USD!W55</f>
        <v>0.85</v>
      </c>
      <c r="X55" s="89">
        <f>USD!X55</f>
        <v>0.95</v>
      </c>
      <c r="Y55" s="89">
        <f>USD!Y55</f>
        <v>1</v>
      </c>
      <c r="Z55" s="89">
        <f>USD!Z55</f>
        <v>0.9</v>
      </c>
      <c r="AA55" s="89">
        <f>USD!AA55</f>
        <v>0.85</v>
      </c>
    </row>
    <row r="56" spans="15:27" ht="12.75">
      <c r="O56" s="192" t="str">
        <f>USD!O56</f>
        <v>г. Красноярск</v>
      </c>
      <c r="P56" s="88">
        <f>USD!P56</f>
        <v>100</v>
      </c>
      <c r="Q56" s="88">
        <f>USD!Q56</f>
        <v>85</v>
      </c>
      <c r="R56" s="89">
        <f>USD!R56</f>
        <v>1</v>
      </c>
      <c r="S56" s="89">
        <f>USD!S56</f>
        <v>0.95</v>
      </c>
      <c r="T56" s="89">
        <f>USD!T56</f>
        <v>0.9</v>
      </c>
      <c r="U56" s="89">
        <f>USD!U56</f>
        <v>0.95</v>
      </c>
      <c r="V56" s="89">
        <f>USD!V56</f>
        <v>0.95</v>
      </c>
      <c r="W56" s="89">
        <f>USD!W56</f>
        <v>1</v>
      </c>
      <c r="X56" s="89">
        <f>USD!X56</f>
        <v>0.95</v>
      </c>
      <c r="Y56" s="89">
        <f>USD!Y56</f>
        <v>1</v>
      </c>
      <c r="Z56" s="89">
        <f>USD!Z56</f>
        <v>0.9</v>
      </c>
      <c r="AA56" s="89">
        <f>USD!AA56</f>
        <v>0.85</v>
      </c>
    </row>
    <row r="57" spans="15:27" ht="12.75">
      <c r="O57" s="192" t="str">
        <f>USD!O57</f>
        <v>Курская область (не включая г. Курск)</v>
      </c>
      <c r="P57" s="88">
        <f>USD!P57</f>
        <v>100</v>
      </c>
      <c r="Q57" s="88">
        <f>USD!Q57</f>
        <v>85</v>
      </c>
      <c r="R57" s="89">
        <f>USD!R57</f>
        <v>0.85</v>
      </c>
      <c r="S57" s="89">
        <f>USD!S57</f>
        <v>0.85</v>
      </c>
      <c r="T57" s="89">
        <f>USD!T57</f>
        <v>0.7</v>
      </c>
      <c r="U57" s="89">
        <f>USD!U57</f>
        <v>0.85</v>
      </c>
      <c r="V57" s="89">
        <f>USD!V57</f>
        <v>0.7</v>
      </c>
      <c r="W57" s="89">
        <f>USD!W57</f>
        <v>0.85</v>
      </c>
      <c r="X57" s="89">
        <f>USD!X57</f>
        <v>0.95</v>
      </c>
      <c r="Y57" s="89">
        <f>USD!Y57</f>
        <v>1</v>
      </c>
      <c r="Z57" s="89">
        <f>USD!Z57</f>
        <v>0.9</v>
      </c>
      <c r="AA57" s="89">
        <f>USD!AA57</f>
        <v>0.85</v>
      </c>
    </row>
    <row r="58" spans="15:27" ht="12.75">
      <c r="O58" s="192" t="str">
        <f>USD!O58</f>
        <v>г. Курск</v>
      </c>
      <c r="P58" s="88">
        <f>USD!P58</f>
        <v>100</v>
      </c>
      <c r="Q58" s="88">
        <f>USD!Q58</f>
        <v>85</v>
      </c>
      <c r="R58" s="89">
        <f>USD!R58</f>
        <v>0.9</v>
      </c>
      <c r="S58" s="89">
        <f>USD!S58</f>
        <v>0.85</v>
      </c>
      <c r="T58" s="89">
        <f>USD!T58</f>
        <v>0.7</v>
      </c>
      <c r="U58" s="89">
        <f>USD!U58</f>
        <v>0.85</v>
      </c>
      <c r="V58" s="89">
        <f>USD!V58</f>
        <v>0.7</v>
      </c>
      <c r="W58" s="89">
        <f>USD!W58</f>
        <v>0.9</v>
      </c>
      <c r="X58" s="89">
        <f>USD!X58</f>
        <v>0.95</v>
      </c>
      <c r="Y58" s="89">
        <f>USD!Y58</f>
        <v>1</v>
      </c>
      <c r="Z58" s="89">
        <f>USD!Z58</f>
        <v>0.9</v>
      </c>
      <c r="AA58" s="89">
        <f>USD!AA58</f>
        <v>0.85</v>
      </c>
    </row>
    <row r="59" spans="15:27" ht="12.75">
      <c r="O59" s="192" t="str">
        <f>USD!O59</f>
        <v>Ленинградская область (включая г. Санкт-Петербург)</v>
      </c>
      <c r="P59" s="88">
        <f>USD!P59</f>
        <v>120</v>
      </c>
      <c r="Q59" s="88">
        <f>USD!Q59</f>
        <v>100</v>
      </c>
      <c r="R59" s="89">
        <f>USD!R59</f>
        <v>1</v>
      </c>
      <c r="S59" s="89">
        <f>USD!S59</f>
        <v>0.95</v>
      </c>
      <c r="T59" s="89">
        <f>USD!T59</f>
        <v>0.9</v>
      </c>
      <c r="U59" s="89">
        <f>USD!U59</f>
        <v>0.95</v>
      </c>
      <c r="V59" s="89">
        <f>USD!V59</f>
        <v>0.95</v>
      </c>
      <c r="W59" s="89">
        <f>USD!W59</f>
        <v>1</v>
      </c>
      <c r="X59" s="89">
        <f>USD!X59</f>
        <v>0.95</v>
      </c>
      <c r="Y59" s="89">
        <f>USD!Y59</f>
        <v>1</v>
      </c>
      <c r="Z59" s="89">
        <f>USD!Z59</f>
        <v>0.9</v>
      </c>
      <c r="AA59" s="89">
        <f>USD!AA59</f>
        <v>0.85</v>
      </c>
    </row>
    <row r="60" spans="15:27" ht="12.75">
      <c r="O60" s="192" t="str">
        <f>USD!O60</f>
        <v>Липецкая область (не включая г. Липецк)</v>
      </c>
      <c r="P60" s="88">
        <f>USD!P60</f>
        <v>100</v>
      </c>
      <c r="Q60" s="88">
        <f>USD!Q60</f>
        <v>85</v>
      </c>
      <c r="R60" s="89">
        <f>USD!R60</f>
        <v>0.85</v>
      </c>
      <c r="S60" s="89">
        <f>USD!S60</f>
        <v>0.85</v>
      </c>
      <c r="T60" s="89">
        <f>USD!T60</f>
        <v>0.7</v>
      </c>
      <c r="U60" s="89">
        <f>USD!U60</f>
        <v>0.85</v>
      </c>
      <c r="V60" s="89">
        <f>USD!V60</f>
        <v>0.7</v>
      </c>
      <c r="W60" s="89">
        <f>USD!W60</f>
        <v>0.85</v>
      </c>
      <c r="X60" s="89">
        <f>USD!X60</f>
        <v>0.95</v>
      </c>
      <c r="Y60" s="89">
        <f>USD!Y60</f>
        <v>1</v>
      </c>
      <c r="Z60" s="89">
        <f>USD!Z60</f>
        <v>0.9</v>
      </c>
      <c r="AA60" s="89">
        <f>USD!AA60</f>
        <v>0.85</v>
      </c>
    </row>
    <row r="61" spans="15:27" ht="12.75">
      <c r="O61" s="192" t="str">
        <f>USD!O61</f>
        <v>г. Липецк</v>
      </c>
      <c r="P61" s="88">
        <f>USD!P61</f>
        <v>100</v>
      </c>
      <c r="Q61" s="88">
        <f>USD!Q61</f>
        <v>85</v>
      </c>
      <c r="R61" s="89">
        <f>USD!R61</f>
        <v>0.9</v>
      </c>
      <c r="S61" s="89">
        <f>USD!S61</f>
        <v>0.85</v>
      </c>
      <c r="T61" s="89">
        <f>USD!T61</f>
        <v>0.7</v>
      </c>
      <c r="U61" s="89">
        <f>USD!U61</f>
        <v>0.85</v>
      </c>
      <c r="V61" s="89">
        <f>USD!V61</f>
        <v>0.7</v>
      </c>
      <c r="W61" s="89">
        <f>USD!W61</f>
        <v>0.9</v>
      </c>
      <c r="X61" s="89">
        <f>USD!X61</f>
        <v>0.95</v>
      </c>
      <c r="Y61" s="89">
        <f>USD!Y61</f>
        <v>1</v>
      </c>
      <c r="Z61" s="89">
        <f>USD!Z61</f>
        <v>0.9</v>
      </c>
      <c r="AA61" s="89">
        <f>USD!AA61</f>
        <v>0.85</v>
      </c>
    </row>
    <row r="62" spans="15:27" ht="12.75">
      <c r="O62" s="192" t="str">
        <f>USD!O62</f>
        <v>Нижегородская область (не включая г. Нижний Новгород)</v>
      </c>
      <c r="P62" s="88">
        <f>USD!P62</f>
        <v>100</v>
      </c>
      <c r="Q62" s="88">
        <f>USD!Q62</f>
        <v>85</v>
      </c>
      <c r="R62" s="89">
        <f>USD!R62</f>
        <v>0.85</v>
      </c>
      <c r="S62" s="89">
        <f>USD!S62</f>
        <v>0.85</v>
      </c>
      <c r="T62" s="89">
        <f>USD!T62</f>
        <v>0.7</v>
      </c>
      <c r="U62" s="89">
        <f>USD!U62</f>
        <v>0.85</v>
      </c>
      <c r="V62" s="89">
        <f>USD!V62</f>
        <v>0.7</v>
      </c>
      <c r="W62" s="89">
        <f>USD!W62</f>
        <v>0.85</v>
      </c>
      <c r="X62" s="89">
        <f>USD!X62</f>
        <v>0.95</v>
      </c>
      <c r="Y62" s="89">
        <f>USD!Y62</f>
        <v>1</v>
      </c>
      <c r="Z62" s="89">
        <f>USD!Z62</f>
        <v>0.9</v>
      </c>
      <c r="AA62" s="89">
        <f>USD!AA62</f>
        <v>0.85</v>
      </c>
    </row>
    <row r="63" spans="15:27" ht="12.75">
      <c r="O63" s="192" t="str">
        <f>USD!O63</f>
        <v>г. Нижний Новгород</v>
      </c>
      <c r="P63" s="88">
        <f>USD!P63</f>
        <v>100</v>
      </c>
      <c r="Q63" s="88">
        <f>USD!Q63</f>
        <v>85</v>
      </c>
      <c r="R63" s="89">
        <f>USD!R63</f>
        <v>1</v>
      </c>
      <c r="S63" s="89">
        <f>USD!S63</f>
        <v>0.95</v>
      </c>
      <c r="T63" s="89">
        <f>USD!T63</f>
        <v>0.9</v>
      </c>
      <c r="U63" s="89">
        <f>USD!U63</f>
        <v>0.95</v>
      </c>
      <c r="V63" s="89">
        <f>USD!V63</f>
        <v>0.95</v>
      </c>
      <c r="W63" s="89">
        <f>USD!W63</f>
        <v>1</v>
      </c>
      <c r="X63" s="89">
        <f>USD!X63</f>
        <v>0.95</v>
      </c>
      <c r="Y63" s="89">
        <f>USD!Y63</f>
        <v>1</v>
      </c>
      <c r="Z63" s="89">
        <f>USD!Z63</f>
        <v>0.9</v>
      </c>
      <c r="AA63" s="89">
        <f>USD!AA63</f>
        <v>0.85</v>
      </c>
    </row>
    <row r="64" spans="15:27" ht="12.75">
      <c r="O64" s="192" t="str">
        <f>USD!O64</f>
        <v>Новосибирская область (не включая г. Новосибирск)</v>
      </c>
      <c r="P64" s="88">
        <f>USD!P64</f>
        <v>100</v>
      </c>
      <c r="Q64" s="88">
        <f>USD!Q64</f>
        <v>85</v>
      </c>
      <c r="R64" s="89">
        <f>USD!R64</f>
        <v>0.85</v>
      </c>
      <c r="S64" s="89">
        <f>USD!S64</f>
        <v>0.85</v>
      </c>
      <c r="T64" s="89">
        <f>USD!T64</f>
        <v>0.7</v>
      </c>
      <c r="U64" s="89">
        <f>USD!U64</f>
        <v>0.85</v>
      </c>
      <c r="V64" s="89">
        <f>USD!V64</f>
        <v>0.7</v>
      </c>
      <c r="W64" s="89">
        <f>USD!W64</f>
        <v>0.85</v>
      </c>
      <c r="X64" s="89">
        <f>USD!X64</f>
        <v>0.95</v>
      </c>
      <c r="Y64" s="89">
        <f>USD!Y64</f>
        <v>1</v>
      </c>
      <c r="Z64" s="89">
        <f>USD!Z64</f>
        <v>0.9</v>
      </c>
      <c r="AA64" s="89">
        <f>USD!AA64</f>
        <v>0.85</v>
      </c>
    </row>
    <row r="65" spans="15:27" ht="12.75">
      <c r="O65" s="192" t="str">
        <f>USD!O65</f>
        <v>г. Новосибирск</v>
      </c>
      <c r="P65" s="88">
        <f>USD!P65</f>
        <v>100</v>
      </c>
      <c r="Q65" s="88">
        <f>USD!Q65</f>
        <v>85</v>
      </c>
      <c r="R65" s="89">
        <f>USD!R65</f>
        <v>1</v>
      </c>
      <c r="S65" s="89">
        <f>USD!S65</f>
        <v>0.95</v>
      </c>
      <c r="T65" s="89">
        <f>USD!T65</f>
        <v>0.9</v>
      </c>
      <c r="U65" s="89">
        <f>USD!U65</f>
        <v>0.95</v>
      </c>
      <c r="V65" s="89">
        <f>USD!V65</f>
        <v>0.95</v>
      </c>
      <c r="W65" s="89">
        <f>USD!W65</f>
        <v>1</v>
      </c>
      <c r="X65" s="89">
        <f>USD!X65</f>
        <v>0.95</v>
      </c>
      <c r="Y65" s="89">
        <f>USD!Y65</f>
        <v>1</v>
      </c>
      <c r="Z65" s="89">
        <f>USD!Z65</f>
        <v>0.9</v>
      </c>
      <c r="AA65" s="89">
        <f>USD!AA65</f>
        <v>0.85</v>
      </c>
    </row>
    <row r="66" spans="15:27" ht="12.75">
      <c r="O66" s="192" t="str">
        <f>USD!O66</f>
        <v>Омская область (не включая г. Омск)</v>
      </c>
      <c r="P66" s="88">
        <f>USD!P66</f>
        <v>100</v>
      </c>
      <c r="Q66" s="88">
        <f>USD!Q66</f>
        <v>85</v>
      </c>
      <c r="R66" s="89">
        <f>USD!R66</f>
        <v>0.85</v>
      </c>
      <c r="S66" s="89">
        <f>USD!S66</f>
        <v>0.85</v>
      </c>
      <c r="T66" s="89">
        <f>USD!T66</f>
        <v>0.7</v>
      </c>
      <c r="U66" s="89">
        <f>USD!U66</f>
        <v>0.85</v>
      </c>
      <c r="V66" s="89">
        <f>USD!V66</f>
        <v>0.7</v>
      </c>
      <c r="W66" s="89">
        <f>USD!W66</f>
        <v>0.85</v>
      </c>
      <c r="X66" s="89">
        <f>USD!X66</f>
        <v>0.95</v>
      </c>
      <c r="Y66" s="89">
        <f>USD!Y66</f>
        <v>1</v>
      </c>
      <c r="Z66" s="89">
        <f>USD!Z66</f>
        <v>0.9</v>
      </c>
      <c r="AA66" s="89">
        <f>USD!AA66</f>
        <v>0.85</v>
      </c>
    </row>
    <row r="67" spans="15:27" ht="12.75">
      <c r="O67" s="192" t="str">
        <f>USD!O67</f>
        <v>г. Омск</v>
      </c>
      <c r="P67" s="88">
        <f>USD!P67</f>
        <v>100</v>
      </c>
      <c r="Q67" s="88">
        <f>USD!Q67</f>
        <v>85</v>
      </c>
      <c r="R67" s="89">
        <f>USD!R67</f>
        <v>0.9</v>
      </c>
      <c r="S67" s="89">
        <f>USD!S67</f>
        <v>0.85</v>
      </c>
      <c r="T67" s="89">
        <f>USD!T67</f>
        <v>0.7</v>
      </c>
      <c r="U67" s="89">
        <f>USD!U67</f>
        <v>0.85</v>
      </c>
      <c r="V67" s="89">
        <f>USD!V67</f>
        <v>0.7</v>
      </c>
      <c r="W67" s="89">
        <f>USD!W67</f>
        <v>0.9</v>
      </c>
      <c r="X67" s="89">
        <f>USD!X67</f>
        <v>0.95</v>
      </c>
      <c r="Y67" s="89">
        <f>USD!Y67</f>
        <v>1</v>
      </c>
      <c r="Z67" s="89">
        <f>USD!Z67</f>
        <v>0.9</v>
      </c>
      <c r="AA67" s="89">
        <f>USD!AA67</f>
        <v>0.85</v>
      </c>
    </row>
    <row r="68" spans="15:27" ht="12.75">
      <c r="O68" s="192" t="str">
        <f>USD!O68</f>
        <v>Пермский край (не включая г. Пермь)</v>
      </c>
      <c r="P68" s="88">
        <f>USD!P68</f>
        <v>100</v>
      </c>
      <c r="Q68" s="88">
        <f>USD!Q68</f>
        <v>85</v>
      </c>
      <c r="R68" s="89">
        <f>USD!R68</f>
        <v>0.85</v>
      </c>
      <c r="S68" s="89">
        <f>USD!S68</f>
        <v>0.85</v>
      </c>
      <c r="T68" s="89">
        <f>USD!T68</f>
        <v>0.7</v>
      </c>
      <c r="U68" s="89">
        <f>USD!U68</f>
        <v>0.85</v>
      </c>
      <c r="V68" s="89">
        <f>USD!V68</f>
        <v>0.7</v>
      </c>
      <c r="W68" s="89">
        <f>USD!W68</f>
        <v>0.85</v>
      </c>
      <c r="X68" s="89">
        <f>USD!X68</f>
        <v>0.95</v>
      </c>
      <c r="Y68" s="89">
        <f>USD!Y68</f>
        <v>1</v>
      </c>
      <c r="Z68" s="89">
        <f>USD!Z68</f>
        <v>0.9</v>
      </c>
      <c r="AA68" s="89">
        <f>USD!AA68</f>
        <v>0.85</v>
      </c>
    </row>
    <row r="69" spans="15:27" ht="12.75">
      <c r="O69" s="192" t="str">
        <f>USD!O69</f>
        <v>г. Пермь</v>
      </c>
      <c r="P69" s="88">
        <f>USD!P69</f>
        <v>100</v>
      </c>
      <c r="Q69" s="88">
        <f>USD!Q69</f>
        <v>85</v>
      </c>
      <c r="R69" s="89">
        <f>USD!R69</f>
        <v>0.9</v>
      </c>
      <c r="S69" s="89">
        <f>USD!S69</f>
        <v>0.85</v>
      </c>
      <c r="T69" s="89">
        <f>USD!T69</f>
        <v>0.7</v>
      </c>
      <c r="U69" s="89">
        <f>USD!U69</f>
        <v>0.85</v>
      </c>
      <c r="V69" s="89">
        <f>USD!V69</f>
        <v>0.7</v>
      </c>
      <c r="W69" s="89">
        <f>USD!W69</f>
        <v>0.9</v>
      </c>
      <c r="X69" s="89">
        <f>USD!X69</f>
        <v>0.95</v>
      </c>
      <c r="Y69" s="89">
        <f>USD!Y69</f>
        <v>1</v>
      </c>
      <c r="Z69" s="89">
        <f>USD!Z69</f>
        <v>0.9</v>
      </c>
      <c r="AA69" s="89">
        <f>USD!AA69</f>
        <v>0.85</v>
      </c>
    </row>
    <row r="70" spans="15:27" ht="12.75">
      <c r="O70" s="192" t="str">
        <f>USD!O70</f>
        <v>Приморский край (включая г. Владивосток)</v>
      </c>
      <c r="P70" s="88">
        <f>USD!P70</f>
        <v>120</v>
      </c>
      <c r="Q70" s="88">
        <f>USD!Q70</f>
        <v>100</v>
      </c>
      <c r="R70" s="89">
        <f>USD!R70</f>
        <v>0.85</v>
      </c>
      <c r="S70" s="89">
        <f>USD!S70</f>
        <v>0.85</v>
      </c>
      <c r="T70" s="89">
        <f>USD!T70</f>
        <v>0.7</v>
      </c>
      <c r="U70" s="89">
        <f>USD!U70</f>
        <v>0.85</v>
      </c>
      <c r="V70" s="89">
        <f>USD!V70</f>
        <v>0.7</v>
      </c>
      <c r="W70" s="89">
        <f>USD!W70</f>
        <v>0.85</v>
      </c>
      <c r="X70" s="89">
        <f>USD!X70</f>
        <v>0.95</v>
      </c>
      <c r="Y70" s="89">
        <f>USD!Y70</f>
        <v>1</v>
      </c>
      <c r="Z70" s="89">
        <f>USD!Z70</f>
        <v>0.9</v>
      </c>
      <c r="AA70" s="89">
        <f>USD!AA70</f>
        <v>0.85</v>
      </c>
    </row>
    <row r="71" spans="15:27" ht="12.75">
      <c r="O71" s="192" t="str">
        <f>USD!O71</f>
        <v>Республика Коми (не включая г. Сыктывкар)</v>
      </c>
      <c r="P71" s="88">
        <f>USD!P71</f>
        <v>100</v>
      </c>
      <c r="Q71" s="88">
        <f>USD!Q71</f>
        <v>85</v>
      </c>
      <c r="R71" s="89">
        <f>USD!R71</f>
        <v>0.85</v>
      </c>
      <c r="S71" s="89">
        <f>USD!S71</f>
        <v>0.85</v>
      </c>
      <c r="T71" s="89">
        <f>USD!T71</f>
        <v>0.7</v>
      </c>
      <c r="U71" s="89">
        <f>USD!U71</f>
        <v>0.85</v>
      </c>
      <c r="V71" s="89">
        <f>USD!V71</f>
        <v>0.7</v>
      </c>
      <c r="W71" s="89">
        <f>USD!W71</f>
        <v>0.85</v>
      </c>
      <c r="X71" s="89">
        <f>USD!X71</f>
        <v>0.95</v>
      </c>
      <c r="Y71" s="89">
        <f>USD!Y71</f>
        <v>1</v>
      </c>
      <c r="Z71" s="89">
        <f>USD!Z71</f>
        <v>0.9</v>
      </c>
      <c r="AA71" s="89">
        <f>USD!AA71</f>
        <v>0.85</v>
      </c>
    </row>
    <row r="72" spans="15:27" ht="12.75">
      <c r="O72" s="192" t="str">
        <f>USD!O72</f>
        <v>г. Сыктывкар</v>
      </c>
      <c r="P72" s="88">
        <f>USD!P72</f>
        <v>100</v>
      </c>
      <c r="Q72" s="88">
        <f>USD!Q72</f>
        <v>85</v>
      </c>
      <c r="R72" s="89">
        <f>USD!R72</f>
        <v>0.9</v>
      </c>
      <c r="S72" s="89">
        <f>USD!S72</f>
        <v>0.85</v>
      </c>
      <c r="T72" s="89">
        <f>USD!T72</f>
        <v>0.7</v>
      </c>
      <c r="U72" s="89">
        <f>USD!U72</f>
        <v>0.85</v>
      </c>
      <c r="V72" s="89">
        <f>USD!V72</f>
        <v>0.7</v>
      </c>
      <c r="W72" s="89">
        <f>USD!W72</f>
        <v>0.9</v>
      </c>
      <c r="X72" s="89">
        <f>USD!X72</f>
        <v>0.95</v>
      </c>
      <c r="Y72" s="89">
        <f>USD!Y72</f>
        <v>1</v>
      </c>
      <c r="Z72" s="89">
        <f>USD!Z72</f>
        <v>0.9</v>
      </c>
      <c r="AA72" s="89">
        <f>USD!AA72</f>
        <v>0.85</v>
      </c>
    </row>
    <row r="73" spans="15:27" ht="12.75">
      <c r="O73" s="192" t="str">
        <f>USD!O73</f>
        <v>Республика Марий Эл (не включая г. Йошкар-Олу)</v>
      </c>
      <c r="P73" s="88">
        <f>USD!P73</f>
        <v>100</v>
      </c>
      <c r="Q73" s="88">
        <f>USD!Q73</f>
        <v>85</v>
      </c>
      <c r="R73" s="89">
        <f>USD!R73</f>
        <v>0.85</v>
      </c>
      <c r="S73" s="89">
        <f>USD!S73</f>
        <v>0.85</v>
      </c>
      <c r="T73" s="89">
        <f>USD!T73</f>
        <v>0.7</v>
      </c>
      <c r="U73" s="89">
        <f>USD!U73</f>
        <v>0.85</v>
      </c>
      <c r="V73" s="89">
        <f>USD!V73</f>
        <v>0.7</v>
      </c>
      <c r="W73" s="89">
        <f>USD!W73</f>
        <v>0.85</v>
      </c>
      <c r="X73" s="89">
        <f>USD!X73</f>
        <v>0.95</v>
      </c>
      <c r="Y73" s="89">
        <f>USD!Y73</f>
        <v>1</v>
      </c>
      <c r="Z73" s="89">
        <f>USD!Z73</f>
        <v>0.9</v>
      </c>
      <c r="AA73" s="89">
        <f>USD!AA73</f>
        <v>0.85</v>
      </c>
    </row>
    <row r="74" spans="15:27" ht="12.75">
      <c r="O74" s="192" t="str">
        <f>USD!O74</f>
        <v>г. Йошкар-Ола</v>
      </c>
      <c r="P74" s="88">
        <f>USD!P74</f>
        <v>100</v>
      </c>
      <c r="Q74" s="88">
        <f>USD!Q74</f>
        <v>85</v>
      </c>
      <c r="R74" s="89">
        <f>USD!R74</f>
        <v>0.9</v>
      </c>
      <c r="S74" s="89">
        <f>USD!S74</f>
        <v>0.85</v>
      </c>
      <c r="T74" s="89">
        <f>USD!T74</f>
        <v>0.7</v>
      </c>
      <c r="U74" s="89">
        <f>USD!U74</f>
        <v>0.85</v>
      </c>
      <c r="V74" s="89">
        <f>USD!V74</f>
        <v>0.7</v>
      </c>
      <c r="W74" s="89">
        <f>USD!W74</f>
        <v>0.9</v>
      </c>
      <c r="X74" s="89">
        <f>USD!X74</f>
        <v>0.95</v>
      </c>
      <c r="Y74" s="89">
        <f>USD!Y74</f>
        <v>1</v>
      </c>
      <c r="Z74" s="89">
        <f>USD!Z74</f>
        <v>0.9</v>
      </c>
      <c r="AA74" s="89">
        <f>USD!AA74</f>
        <v>0.85</v>
      </c>
    </row>
    <row r="75" spans="15:27" ht="12.75">
      <c r="O75" s="192" t="str">
        <f>USD!O75</f>
        <v>Республика Саха (Якутия) (не включая г. Якутск)</v>
      </c>
      <c r="P75" s="88">
        <f>USD!P75</f>
        <v>120</v>
      </c>
      <c r="Q75" s="88">
        <f>USD!Q75</f>
        <v>100</v>
      </c>
      <c r="R75" s="89">
        <f>USD!R75</f>
        <v>0.85</v>
      </c>
      <c r="S75" s="89">
        <f>USD!S75</f>
        <v>0.85</v>
      </c>
      <c r="T75" s="89">
        <f>USD!T75</f>
        <v>0.7</v>
      </c>
      <c r="U75" s="89">
        <f>USD!U75</f>
        <v>0.85</v>
      </c>
      <c r="V75" s="89">
        <f>USD!V75</f>
        <v>0.7</v>
      </c>
      <c r="W75" s="89">
        <f>USD!W75</f>
        <v>0.85</v>
      </c>
      <c r="X75" s="89">
        <f>USD!X75</f>
        <v>0.95</v>
      </c>
      <c r="Y75" s="89">
        <f>USD!Y75</f>
        <v>1</v>
      </c>
      <c r="Z75" s="89">
        <f>USD!Z75</f>
        <v>0.9</v>
      </c>
      <c r="AA75" s="89">
        <f>USD!AA75</f>
        <v>0.85</v>
      </c>
    </row>
    <row r="76" spans="15:27" ht="12.75">
      <c r="O76" s="192" t="str">
        <f>USD!O76</f>
        <v>г. Якутск</v>
      </c>
      <c r="P76" s="88">
        <f>USD!P76</f>
        <v>120</v>
      </c>
      <c r="Q76" s="88">
        <f>USD!Q76</f>
        <v>100</v>
      </c>
      <c r="R76" s="89">
        <f>USD!R76</f>
        <v>0.9</v>
      </c>
      <c r="S76" s="89">
        <f>USD!S76</f>
        <v>0.85</v>
      </c>
      <c r="T76" s="89">
        <f>USD!T76</f>
        <v>0.7</v>
      </c>
      <c r="U76" s="89">
        <f>USD!U76</f>
        <v>0.85</v>
      </c>
      <c r="V76" s="89">
        <f>USD!V76</f>
        <v>0.7</v>
      </c>
      <c r="W76" s="89">
        <f>USD!W76</f>
        <v>0.9</v>
      </c>
      <c r="X76" s="89">
        <f>USD!X76</f>
        <v>0.95</v>
      </c>
      <c r="Y76" s="89">
        <f>USD!Y76</f>
        <v>1</v>
      </c>
      <c r="Z76" s="89">
        <f>USD!Z76</f>
        <v>0.9</v>
      </c>
      <c r="AA76" s="89">
        <f>USD!AA76</f>
        <v>0.85</v>
      </c>
    </row>
    <row r="77" spans="15:27" ht="12.75">
      <c r="O77" s="192" t="str">
        <f>USD!O77</f>
        <v>Республика Татарстан (не включая г. Казань)</v>
      </c>
      <c r="P77" s="88">
        <f>USD!P77</f>
        <v>100</v>
      </c>
      <c r="Q77" s="88">
        <f>USD!Q77</f>
        <v>85</v>
      </c>
      <c r="R77" s="89">
        <f>USD!R77</f>
        <v>0.85</v>
      </c>
      <c r="S77" s="89">
        <f>USD!S77</f>
        <v>0.85</v>
      </c>
      <c r="T77" s="89">
        <f>USD!T77</f>
        <v>0.7</v>
      </c>
      <c r="U77" s="89">
        <f>USD!U77</f>
        <v>0.85</v>
      </c>
      <c r="V77" s="89">
        <f>USD!V77</f>
        <v>0.7</v>
      </c>
      <c r="W77" s="89">
        <f>USD!W77</f>
        <v>0.85</v>
      </c>
      <c r="X77" s="89">
        <f>USD!X77</f>
        <v>0.95</v>
      </c>
      <c r="Y77" s="89">
        <f>USD!Y77</f>
        <v>1</v>
      </c>
      <c r="Z77" s="89">
        <f>USD!Z77</f>
        <v>0.9</v>
      </c>
      <c r="AA77" s="89">
        <f>USD!AA77</f>
        <v>0.85</v>
      </c>
    </row>
    <row r="78" spans="15:27" ht="12.75">
      <c r="O78" s="192" t="str">
        <f>USD!O78</f>
        <v>г. Казань</v>
      </c>
      <c r="P78" s="88">
        <f>USD!P78</f>
        <v>100</v>
      </c>
      <c r="Q78" s="88">
        <f>USD!Q78</f>
        <v>85</v>
      </c>
      <c r="R78" s="89">
        <f>USD!R78</f>
        <v>1</v>
      </c>
      <c r="S78" s="89">
        <f>USD!S78</f>
        <v>0.95</v>
      </c>
      <c r="T78" s="89">
        <f>USD!T78</f>
        <v>0.9</v>
      </c>
      <c r="U78" s="89">
        <f>USD!U78</f>
        <v>0.95</v>
      </c>
      <c r="V78" s="89">
        <f>USD!V78</f>
        <v>0.95</v>
      </c>
      <c r="W78" s="89">
        <f>USD!W78</f>
        <v>1</v>
      </c>
      <c r="X78" s="89">
        <f>USD!X78</f>
        <v>0.95</v>
      </c>
      <c r="Y78" s="89">
        <f>USD!Y78</f>
        <v>1</v>
      </c>
      <c r="Z78" s="89">
        <f>USD!Z78</f>
        <v>0.9</v>
      </c>
      <c r="AA78" s="89">
        <f>USD!AA78</f>
        <v>0.85</v>
      </c>
    </row>
    <row r="79" spans="15:27" ht="12.75">
      <c r="O79" s="192" t="str">
        <f>USD!O79</f>
        <v>Ростовская область (не включая г. Ростов-на-Дону)</v>
      </c>
      <c r="P79" s="88">
        <f>USD!P79</f>
        <v>100</v>
      </c>
      <c r="Q79" s="88">
        <f>USD!Q79</f>
        <v>85</v>
      </c>
      <c r="R79" s="89">
        <f>USD!R79</f>
        <v>0.85</v>
      </c>
      <c r="S79" s="89">
        <f>USD!S79</f>
        <v>0.85</v>
      </c>
      <c r="T79" s="89">
        <f>USD!T79</f>
        <v>0.7</v>
      </c>
      <c r="U79" s="89">
        <f>USD!U79</f>
        <v>0.85</v>
      </c>
      <c r="V79" s="89">
        <f>USD!V79</f>
        <v>0.7</v>
      </c>
      <c r="W79" s="89">
        <f>USD!W79</f>
        <v>0.85</v>
      </c>
      <c r="X79" s="89">
        <f>USD!X79</f>
        <v>0.95</v>
      </c>
      <c r="Y79" s="89">
        <f>USD!Y79</f>
        <v>1</v>
      </c>
      <c r="Z79" s="89">
        <f>USD!Z79</f>
        <v>0.9</v>
      </c>
      <c r="AA79" s="89">
        <f>USD!AA79</f>
        <v>0.85</v>
      </c>
    </row>
    <row r="80" spans="15:27" ht="12.75">
      <c r="O80" s="192" t="str">
        <f>USD!O80</f>
        <v>г. Ростов-на-Дону</v>
      </c>
      <c r="P80" s="88">
        <f>USD!P80</f>
        <v>100</v>
      </c>
      <c r="Q80" s="88">
        <f>USD!Q80</f>
        <v>85</v>
      </c>
      <c r="R80" s="89">
        <f>USD!R80</f>
        <v>0.95</v>
      </c>
      <c r="S80" s="89">
        <f>USD!S80</f>
        <v>0.95</v>
      </c>
      <c r="T80" s="89">
        <f>USD!T80</f>
        <v>0.9</v>
      </c>
      <c r="U80" s="89">
        <f>USD!U80</f>
        <v>0.95</v>
      </c>
      <c r="V80" s="89">
        <f>USD!V80</f>
        <v>0.95</v>
      </c>
      <c r="W80" s="89">
        <f>USD!W80</f>
        <v>0.95</v>
      </c>
      <c r="X80" s="89">
        <f>USD!X80</f>
        <v>0.95</v>
      </c>
      <c r="Y80" s="89">
        <f>USD!Y80</f>
        <v>1</v>
      </c>
      <c r="Z80" s="89">
        <f>USD!Z80</f>
        <v>0.9</v>
      </c>
      <c r="AA80" s="89">
        <f>USD!AA80</f>
        <v>0.85</v>
      </c>
    </row>
    <row r="81" spans="15:27" ht="12.75">
      <c r="O81" s="192" t="str">
        <f>USD!O81</f>
        <v>Самарская область (не включая г. Самара и г. Тольятти)</v>
      </c>
      <c r="P81" s="88">
        <f>USD!P81</f>
        <v>100</v>
      </c>
      <c r="Q81" s="88">
        <f>USD!Q81</f>
        <v>85</v>
      </c>
      <c r="R81" s="89">
        <f>USD!R81</f>
        <v>0.85</v>
      </c>
      <c r="S81" s="89">
        <f>USD!S81</f>
        <v>0.85</v>
      </c>
      <c r="T81" s="89">
        <f>USD!T81</f>
        <v>0.7</v>
      </c>
      <c r="U81" s="89">
        <f>USD!U81</f>
        <v>0.85</v>
      </c>
      <c r="V81" s="89">
        <f>USD!V81</f>
        <v>0.7</v>
      </c>
      <c r="W81" s="89">
        <f>USD!W81</f>
        <v>0.85</v>
      </c>
      <c r="X81" s="89">
        <f>USD!X81</f>
        <v>0.95</v>
      </c>
      <c r="Y81" s="89">
        <f>USD!Y81</f>
        <v>1</v>
      </c>
      <c r="Z81" s="89">
        <f>USD!Z81</f>
        <v>0.9</v>
      </c>
      <c r="AA81" s="89">
        <f>USD!AA81</f>
        <v>0.85</v>
      </c>
    </row>
    <row r="82" spans="15:27" ht="12.75">
      <c r="O82" s="192" t="str">
        <f>USD!O82</f>
        <v>г. Самара</v>
      </c>
      <c r="P82" s="88">
        <f>USD!P82</f>
        <v>100</v>
      </c>
      <c r="Q82" s="88">
        <f>USD!Q82</f>
        <v>85</v>
      </c>
      <c r="R82" s="89">
        <f>USD!R82</f>
        <v>1</v>
      </c>
      <c r="S82" s="89">
        <f>USD!S82</f>
        <v>0.95</v>
      </c>
      <c r="T82" s="89">
        <f>USD!T82</f>
        <v>0.9</v>
      </c>
      <c r="U82" s="89">
        <f>USD!U82</f>
        <v>0.95</v>
      </c>
      <c r="V82" s="89">
        <f>USD!V82</f>
        <v>0.95</v>
      </c>
      <c r="W82" s="89">
        <f>USD!W82</f>
        <v>1</v>
      </c>
      <c r="X82" s="89">
        <f>USD!X82</f>
        <v>0.95</v>
      </c>
      <c r="Y82" s="89">
        <f>USD!Y82</f>
        <v>1</v>
      </c>
      <c r="Z82" s="89">
        <f>USD!Z82</f>
        <v>0.9</v>
      </c>
      <c r="AA82" s="89">
        <f>USD!AA82</f>
        <v>0.85</v>
      </c>
    </row>
    <row r="83" spans="15:27" ht="12.75">
      <c r="O83" s="192" t="str">
        <f>USD!O83</f>
        <v>г. Тольятти</v>
      </c>
      <c r="P83" s="88">
        <f>USD!P83</f>
        <v>100</v>
      </c>
      <c r="Q83" s="88">
        <f>USD!Q83</f>
        <v>85</v>
      </c>
      <c r="R83" s="89">
        <f>USD!R83</f>
        <v>0.9</v>
      </c>
      <c r="S83" s="89">
        <f>USD!S83</f>
        <v>0.85</v>
      </c>
      <c r="T83" s="89">
        <f>USD!T83</f>
        <v>0.7</v>
      </c>
      <c r="U83" s="89">
        <f>USD!U83</f>
        <v>0.85</v>
      </c>
      <c r="V83" s="89">
        <f>USD!V83</f>
        <v>0.7</v>
      </c>
      <c r="W83" s="89">
        <f>USD!W83</f>
        <v>0.9</v>
      </c>
      <c r="X83" s="89">
        <f>USD!X83</f>
        <v>0.95</v>
      </c>
      <c r="Y83" s="89">
        <f>USD!Y83</f>
        <v>1</v>
      </c>
      <c r="Z83" s="89">
        <f>USD!Z83</f>
        <v>0.9</v>
      </c>
      <c r="AA83" s="89">
        <f>USD!AA83</f>
        <v>0.85</v>
      </c>
    </row>
    <row r="84" spans="15:27" ht="12.75">
      <c r="O84" s="192" t="str">
        <f>USD!O84</f>
        <v>Саратовская область (включая г. Саратов)</v>
      </c>
      <c r="P84" s="88">
        <f>USD!P84</f>
        <v>100</v>
      </c>
      <c r="Q84" s="88">
        <f>USD!Q84</f>
        <v>85</v>
      </c>
      <c r="R84" s="89">
        <f>USD!R84</f>
        <v>0.85</v>
      </c>
      <c r="S84" s="89">
        <f>USD!S84</f>
        <v>0.85</v>
      </c>
      <c r="T84" s="89">
        <f>USD!T84</f>
        <v>0.7</v>
      </c>
      <c r="U84" s="89">
        <f>USD!U84</f>
        <v>0.85</v>
      </c>
      <c r="V84" s="89">
        <f>USD!V84</f>
        <v>0.7</v>
      </c>
      <c r="W84" s="89">
        <f>USD!W84</f>
        <v>0.85</v>
      </c>
      <c r="X84" s="89">
        <f>USD!X84</f>
        <v>0.95</v>
      </c>
      <c r="Y84" s="89">
        <f>USD!Y84</f>
        <v>1</v>
      </c>
      <c r="Z84" s="89">
        <f>USD!Z84</f>
        <v>0.9</v>
      </c>
      <c r="AA84" s="89">
        <f>USD!AA84</f>
        <v>0.85</v>
      </c>
    </row>
    <row r="85" spans="15:27" ht="12.75">
      <c r="O85" s="192" t="str">
        <f>USD!O85</f>
        <v>Свердловская область (не включая г. Екатеринбург)</v>
      </c>
      <c r="P85" s="88">
        <f>USD!P85</f>
        <v>100</v>
      </c>
      <c r="Q85" s="88">
        <f>USD!Q85</f>
        <v>85</v>
      </c>
      <c r="R85" s="89">
        <f>USD!R85</f>
        <v>0.85</v>
      </c>
      <c r="S85" s="89">
        <f>USD!S85</f>
        <v>0.85</v>
      </c>
      <c r="T85" s="89">
        <f>USD!T85</f>
        <v>0.7</v>
      </c>
      <c r="U85" s="89">
        <f>USD!U85</f>
        <v>0.85</v>
      </c>
      <c r="V85" s="89">
        <f>USD!V85</f>
        <v>0.7</v>
      </c>
      <c r="W85" s="89">
        <f>USD!W85</f>
        <v>0.85</v>
      </c>
      <c r="X85" s="89">
        <f>USD!X85</f>
        <v>0.95</v>
      </c>
      <c r="Y85" s="89">
        <f>USD!Y85</f>
        <v>1</v>
      </c>
      <c r="Z85" s="89">
        <f>USD!Z85</f>
        <v>0.9</v>
      </c>
      <c r="AA85" s="89">
        <f>USD!AA85</f>
        <v>0.85</v>
      </c>
    </row>
    <row r="86" spans="15:27" ht="12.75">
      <c r="O86" s="192" t="str">
        <f>USD!O86</f>
        <v>г. Екатеринбург</v>
      </c>
      <c r="P86" s="88">
        <f>USD!P86</f>
        <v>100</v>
      </c>
      <c r="Q86" s="88">
        <f>USD!Q86</f>
        <v>85</v>
      </c>
      <c r="R86" s="89">
        <f>USD!R86</f>
        <v>1</v>
      </c>
      <c r="S86" s="89">
        <f>USD!S86</f>
        <v>0.95</v>
      </c>
      <c r="T86" s="89">
        <f>USD!T86</f>
        <v>0.9</v>
      </c>
      <c r="U86" s="89">
        <f>USD!U86</f>
        <v>0.95</v>
      </c>
      <c r="V86" s="89">
        <f>USD!V86</f>
        <v>0.95</v>
      </c>
      <c r="W86" s="89">
        <f>USD!W86</f>
        <v>1</v>
      </c>
      <c r="X86" s="89">
        <f>USD!X86</f>
        <v>0.95</v>
      </c>
      <c r="Y86" s="89">
        <f>USD!Y86</f>
        <v>1</v>
      </c>
      <c r="Z86" s="89">
        <f>USD!Z86</f>
        <v>0.9</v>
      </c>
      <c r="AA86" s="89">
        <f>USD!AA86</f>
        <v>0.85</v>
      </c>
    </row>
    <row r="87" spans="15:27" ht="12.75">
      <c r="O87" s="192" t="str">
        <f>USD!O87</f>
        <v>Смоленская область (не включая г. Смоленск)</v>
      </c>
      <c r="P87" s="88">
        <f>USD!P87</f>
        <v>100</v>
      </c>
      <c r="Q87" s="88">
        <f>USD!Q87</f>
        <v>85</v>
      </c>
      <c r="R87" s="89">
        <f>USD!R87</f>
        <v>0.85</v>
      </c>
      <c r="S87" s="89">
        <f>USD!S87</f>
        <v>0.85</v>
      </c>
      <c r="T87" s="89">
        <f>USD!T87</f>
        <v>0.7</v>
      </c>
      <c r="U87" s="89">
        <f>USD!U87</f>
        <v>0.85</v>
      </c>
      <c r="V87" s="89">
        <f>USD!V87</f>
        <v>0.7</v>
      </c>
      <c r="W87" s="89">
        <f>USD!W87</f>
        <v>0.85</v>
      </c>
      <c r="X87" s="89">
        <f>USD!X87</f>
        <v>0.95</v>
      </c>
      <c r="Y87" s="89">
        <f>USD!Y87</f>
        <v>1</v>
      </c>
      <c r="Z87" s="89">
        <f>USD!Z87</f>
        <v>0.9</v>
      </c>
      <c r="AA87" s="89">
        <f>USD!AA87</f>
        <v>0.85</v>
      </c>
    </row>
    <row r="88" spans="15:27" ht="12.75">
      <c r="O88" s="192" t="str">
        <f>USD!O88</f>
        <v>г. Смоленск</v>
      </c>
      <c r="P88" s="88">
        <f>USD!P88</f>
        <v>100</v>
      </c>
      <c r="Q88" s="88">
        <f>USD!Q88</f>
        <v>85</v>
      </c>
      <c r="R88" s="89">
        <f>USD!R88</f>
        <v>0.9</v>
      </c>
      <c r="S88" s="89">
        <f>USD!S88</f>
        <v>0.85</v>
      </c>
      <c r="T88" s="89">
        <f>USD!T88</f>
        <v>0.7</v>
      </c>
      <c r="U88" s="89">
        <f>USD!U88</f>
        <v>0.85</v>
      </c>
      <c r="V88" s="89">
        <f>USD!V88</f>
        <v>0.7</v>
      </c>
      <c r="W88" s="89">
        <f>USD!W88</f>
        <v>0.9</v>
      </c>
      <c r="X88" s="89">
        <f>USD!X88</f>
        <v>0.95</v>
      </c>
      <c r="Y88" s="89">
        <f>USD!Y88</f>
        <v>1</v>
      </c>
      <c r="Z88" s="89">
        <f>USD!Z88</f>
        <v>0.9</v>
      </c>
      <c r="AA88" s="89">
        <f>USD!AA88</f>
        <v>0.85</v>
      </c>
    </row>
    <row r="89" spans="15:27" ht="12.75">
      <c r="O89" s="192" t="str">
        <f>USD!O89</f>
        <v>Тульская область (не включая г. Тула и г. Новомосковск)</v>
      </c>
      <c r="P89" s="88">
        <f>USD!P89</f>
        <v>100</v>
      </c>
      <c r="Q89" s="88">
        <f>USD!Q89</f>
        <v>85</v>
      </c>
      <c r="R89" s="89">
        <f>USD!R89</f>
        <v>0.85</v>
      </c>
      <c r="S89" s="89">
        <f>USD!S89</f>
        <v>0.85</v>
      </c>
      <c r="T89" s="89">
        <f>USD!T89</f>
        <v>0.7</v>
      </c>
      <c r="U89" s="89">
        <f>USD!U89</f>
        <v>0.85</v>
      </c>
      <c r="V89" s="89">
        <f>USD!V89</f>
        <v>0.7</v>
      </c>
      <c r="W89" s="89">
        <f>USD!W89</f>
        <v>0.85</v>
      </c>
      <c r="X89" s="89">
        <f>USD!X89</f>
        <v>0.95</v>
      </c>
      <c r="Y89" s="89">
        <f>USD!Y89</f>
        <v>1</v>
      </c>
      <c r="Z89" s="89">
        <f>USD!Z89</f>
        <v>0.9</v>
      </c>
      <c r="AA89" s="89">
        <f>USD!AA89</f>
        <v>0.85</v>
      </c>
    </row>
    <row r="90" spans="15:27" ht="12.75">
      <c r="O90" s="192" t="str">
        <f>USD!O90</f>
        <v>г. Тула</v>
      </c>
      <c r="P90" s="88">
        <f>USD!P90</f>
        <v>100</v>
      </c>
      <c r="Q90" s="88">
        <f>USD!Q90</f>
        <v>85</v>
      </c>
      <c r="R90" s="89">
        <f>USD!R90</f>
        <v>0.9</v>
      </c>
      <c r="S90" s="89">
        <f>USD!S90</f>
        <v>0.85</v>
      </c>
      <c r="T90" s="89">
        <f>USD!T90</f>
        <v>0.7</v>
      </c>
      <c r="U90" s="89">
        <f>USD!U90</f>
        <v>0.85</v>
      </c>
      <c r="V90" s="89">
        <f>USD!V90</f>
        <v>0.7</v>
      </c>
      <c r="W90" s="89">
        <f>USD!W90</f>
        <v>0.9</v>
      </c>
      <c r="X90" s="89">
        <f>USD!X90</f>
        <v>0.95</v>
      </c>
      <c r="Y90" s="89">
        <f>USD!Y90</f>
        <v>1</v>
      </c>
      <c r="Z90" s="89">
        <f>USD!Z90</f>
        <v>0.9</v>
      </c>
      <c r="AA90" s="89">
        <f>USD!AA90</f>
        <v>0.85</v>
      </c>
    </row>
    <row r="91" spans="15:27" ht="12.75">
      <c r="O91" s="192" t="str">
        <f>USD!O91</f>
        <v>г. Новомосковск</v>
      </c>
      <c r="P91" s="88">
        <f>USD!P91</f>
        <v>100</v>
      </c>
      <c r="Q91" s="88">
        <f>USD!Q91</f>
        <v>85</v>
      </c>
      <c r="R91" s="89">
        <f>USD!R91</f>
        <v>0.9</v>
      </c>
      <c r="S91" s="89">
        <f>USD!S91</f>
        <v>0.85</v>
      </c>
      <c r="T91" s="89">
        <f>USD!T91</f>
        <v>0.7</v>
      </c>
      <c r="U91" s="89">
        <f>USD!U91</f>
        <v>0.85</v>
      </c>
      <c r="V91" s="89">
        <f>USD!V91</f>
        <v>0.7</v>
      </c>
      <c r="W91" s="89">
        <f>USD!W91</f>
        <v>0.9</v>
      </c>
      <c r="X91" s="89">
        <f>USD!X91</f>
        <v>0.95</v>
      </c>
      <c r="Y91" s="89">
        <f>USD!Y91</f>
        <v>1</v>
      </c>
      <c r="Z91" s="89">
        <f>USD!Z91</f>
        <v>0.9</v>
      </c>
      <c r="AA91" s="89">
        <f>USD!AA91</f>
        <v>0.85</v>
      </c>
    </row>
    <row r="92" spans="15:27" ht="12.75">
      <c r="O92" s="192" t="str">
        <f>USD!O92</f>
        <v>Тверская область (включая г. Тверь)</v>
      </c>
      <c r="P92" s="88">
        <f>USD!P92</f>
        <v>100</v>
      </c>
      <c r="Q92" s="88">
        <f>USD!Q92</f>
        <v>85</v>
      </c>
      <c r="R92" s="89">
        <f>USD!R92</f>
        <v>0.85</v>
      </c>
      <c r="S92" s="89">
        <f>USD!S92</f>
        <v>0.85</v>
      </c>
      <c r="T92" s="89">
        <f>USD!T92</f>
        <v>0.7</v>
      </c>
      <c r="U92" s="89">
        <f>USD!U92</f>
        <v>0.85</v>
      </c>
      <c r="V92" s="89">
        <f>USD!V92</f>
        <v>0.7</v>
      </c>
      <c r="W92" s="89">
        <f>USD!W92</f>
        <v>0.85</v>
      </c>
      <c r="X92" s="89">
        <f>USD!X92</f>
        <v>0.95</v>
      </c>
      <c r="Y92" s="89">
        <f>USD!Y92</f>
        <v>1</v>
      </c>
      <c r="Z92" s="89">
        <f>USD!Z92</f>
        <v>0.9</v>
      </c>
      <c r="AA92" s="89">
        <f>USD!AA92</f>
        <v>0.85</v>
      </c>
    </row>
    <row r="93" spans="15:27" ht="12.75">
      <c r="O93" s="192" t="str">
        <f>USD!O93</f>
        <v>Томская область (не включая г. Томск)</v>
      </c>
      <c r="P93" s="88">
        <f>USD!P93</f>
        <v>100</v>
      </c>
      <c r="Q93" s="88">
        <f>USD!Q93</f>
        <v>85</v>
      </c>
      <c r="R93" s="89">
        <f>USD!R93</f>
        <v>0.85</v>
      </c>
      <c r="S93" s="89">
        <f>USD!S93</f>
        <v>0.85</v>
      </c>
      <c r="T93" s="89">
        <f>USD!T93</f>
        <v>0.7</v>
      </c>
      <c r="U93" s="89">
        <f>USD!U93</f>
        <v>0.85</v>
      </c>
      <c r="V93" s="89">
        <f>USD!V93</f>
        <v>0.7</v>
      </c>
      <c r="W93" s="89">
        <f>USD!W93</f>
        <v>0.85</v>
      </c>
      <c r="X93" s="89">
        <f>USD!X93</f>
        <v>0.95</v>
      </c>
      <c r="Y93" s="89">
        <f>USD!Y93</f>
        <v>1</v>
      </c>
      <c r="Z93" s="89">
        <f>USD!Z93</f>
        <v>0.9</v>
      </c>
      <c r="AA93" s="89">
        <f>USD!AA93</f>
        <v>0.85</v>
      </c>
    </row>
    <row r="94" spans="15:27" ht="12.75">
      <c r="O94" s="192" t="str">
        <f>USD!O94</f>
        <v>г. Томск</v>
      </c>
      <c r="P94" s="88">
        <f>USD!P94</f>
        <v>100</v>
      </c>
      <c r="Q94" s="88">
        <f>USD!Q94</f>
        <v>85</v>
      </c>
      <c r="R94" s="89">
        <f>USD!R94</f>
        <v>0.9</v>
      </c>
      <c r="S94" s="89">
        <f>USD!S94</f>
        <v>0.85</v>
      </c>
      <c r="T94" s="89">
        <f>USD!T94</f>
        <v>0.7</v>
      </c>
      <c r="U94" s="89">
        <f>USD!U94</f>
        <v>0.85</v>
      </c>
      <c r="V94" s="89">
        <f>USD!V94</f>
        <v>0.7</v>
      </c>
      <c r="W94" s="89">
        <f>USD!W94</f>
        <v>0.9</v>
      </c>
      <c r="X94" s="89">
        <f>USD!X94</f>
        <v>0.95</v>
      </c>
      <c r="Y94" s="89">
        <f>USD!Y94</f>
        <v>1</v>
      </c>
      <c r="Z94" s="89">
        <f>USD!Z94</f>
        <v>0.9</v>
      </c>
      <c r="AA94" s="89">
        <f>USD!AA94</f>
        <v>0.85</v>
      </c>
    </row>
    <row r="95" spans="15:27" ht="12.75">
      <c r="O95" s="192" t="str">
        <f>USD!O95</f>
        <v>Тюменская область (не включая г. Тюмень)</v>
      </c>
      <c r="P95" s="88">
        <f>USD!P95</f>
        <v>100</v>
      </c>
      <c r="Q95" s="88">
        <f>USD!Q95</f>
        <v>85</v>
      </c>
      <c r="R95" s="89">
        <f>USD!R95</f>
        <v>0.85</v>
      </c>
      <c r="S95" s="89">
        <f>USD!S95</f>
        <v>0.85</v>
      </c>
      <c r="T95" s="89">
        <f>USD!T95</f>
        <v>0.7</v>
      </c>
      <c r="U95" s="89">
        <f>USD!U95</f>
        <v>0.85</v>
      </c>
      <c r="V95" s="89">
        <f>USD!V95</f>
        <v>0.7</v>
      </c>
      <c r="W95" s="89">
        <f>USD!W95</f>
        <v>0.85</v>
      </c>
      <c r="X95" s="89">
        <f>USD!X95</f>
        <v>0.95</v>
      </c>
      <c r="Y95" s="89">
        <f>USD!Y95</f>
        <v>1</v>
      </c>
      <c r="Z95" s="89">
        <f>USD!Z95</f>
        <v>0.9</v>
      </c>
      <c r="AA95" s="89">
        <f>USD!AA95</f>
        <v>0.85</v>
      </c>
    </row>
    <row r="96" spans="15:27" ht="12.75">
      <c r="O96" s="192" t="str">
        <f>USD!O96</f>
        <v>г. Тюмень</v>
      </c>
      <c r="P96" s="88">
        <f>USD!P96</f>
        <v>100</v>
      </c>
      <c r="Q96" s="88">
        <f>USD!Q96</f>
        <v>85</v>
      </c>
      <c r="R96" s="89">
        <f>USD!R96</f>
        <v>0.95</v>
      </c>
      <c r="S96" s="89">
        <f>USD!S96</f>
        <v>0.95</v>
      </c>
      <c r="T96" s="89">
        <f>USD!T96</f>
        <v>0.9</v>
      </c>
      <c r="U96" s="89">
        <f>USD!U96</f>
        <v>0.95</v>
      </c>
      <c r="V96" s="89">
        <f>USD!V96</f>
        <v>0.95</v>
      </c>
      <c r="W96" s="89">
        <f>USD!W96</f>
        <v>0.95</v>
      </c>
      <c r="X96" s="89">
        <f>USD!X96</f>
        <v>0.95</v>
      </c>
      <c r="Y96" s="89">
        <f>USD!Y96</f>
        <v>1</v>
      </c>
      <c r="Z96" s="89">
        <f>USD!Z96</f>
        <v>0.9</v>
      </c>
      <c r="AA96" s="89">
        <f>USD!AA96</f>
        <v>0.85</v>
      </c>
    </row>
    <row r="97" spans="15:27" ht="12.75">
      <c r="O97" s="192" t="str">
        <f>USD!O97</f>
        <v>Ульяновская область (не включая г. Ульяновск)</v>
      </c>
      <c r="P97" s="88">
        <f>USD!P97</f>
        <v>100</v>
      </c>
      <c r="Q97" s="88">
        <f>USD!Q97</f>
        <v>85</v>
      </c>
      <c r="R97" s="89">
        <f>USD!R97</f>
        <v>0.85</v>
      </c>
      <c r="S97" s="89">
        <f>USD!S97</f>
        <v>0.85</v>
      </c>
      <c r="T97" s="89">
        <f>USD!T97</f>
        <v>0.7</v>
      </c>
      <c r="U97" s="89">
        <f>USD!U97</f>
        <v>0.85</v>
      </c>
      <c r="V97" s="89">
        <f>USD!V97</f>
        <v>0.7</v>
      </c>
      <c r="W97" s="89">
        <f>USD!W97</f>
        <v>0.85</v>
      </c>
      <c r="X97" s="89">
        <f>USD!X97</f>
        <v>0.95</v>
      </c>
      <c r="Y97" s="89">
        <f>USD!Y97</f>
        <v>1</v>
      </c>
      <c r="Z97" s="89">
        <f>USD!Z97</f>
        <v>0.9</v>
      </c>
      <c r="AA97" s="89">
        <f>USD!AA97</f>
        <v>0.85</v>
      </c>
    </row>
    <row r="98" spans="15:27" ht="12.75">
      <c r="O98" s="192" t="str">
        <f>USD!O98</f>
        <v>г. Ульяновск</v>
      </c>
      <c r="P98" s="88">
        <f>USD!P98</f>
        <v>100</v>
      </c>
      <c r="Q98" s="88">
        <f>USD!Q98</f>
        <v>85</v>
      </c>
      <c r="R98" s="89">
        <f>USD!R98</f>
        <v>0.9</v>
      </c>
      <c r="S98" s="89">
        <f>USD!S98</f>
        <v>0.85</v>
      </c>
      <c r="T98" s="89">
        <f>USD!T98</f>
        <v>0.7</v>
      </c>
      <c r="U98" s="89">
        <f>USD!U98</f>
        <v>0.85</v>
      </c>
      <c r="V98" s="89">
        <f>USD!V98</f>
        <v>0.7</v>
      </c>
      <c r="W98" s="89">
        <f>USD!W98</f>
        <v>0.9</v>
      </c>
      <c r="X98" s="89">
        <f>USD!X98</f>
        <v>0.95</v>
      </c>
      <c r="Y98" s="89">
        <f>USD!Y98</f>
        <v>1</v>
      </c>
      <c r="Z98" s="89">
        <f>USD!Z98</f>
        <v>0.9</v>
      </c>
      <c r="AA98" s="89">
        <f>USD!AA98</f>
        <v>0.85</v>
      </c>
    </row>
    <row r="99" spans="15:27" ht="12.75">
      <c r="O99" s="192" t="str">
        <f>USD!O99</f>
        <v>Хабаровский край (не включая г. Хабаровск)</v>
      </c>
      <c r="P99" s="88">
        <f>USD!P99</f>
        <v>120</v>
      </c>
      <c r="Q99" s="88">
        <f>USD!Q99</f>
        <v>100</v>
      </c>
      <c r="R99" s="89">
        <f>USD!R99</f>
        <v>0.85</v>
      </c>
      <c r="S99" s="89">
        <f>USD!S99</f>
        <v>0.85</v>
      </c>
      <c r="T99" s="89">
        <f>USD!T99</f>
        <v>0.7</v>
      </c>
      <c r="U99" s="89">
        <f>USD!U99</f>
        <v>0.85</v>
      </c>
      <c r="V99" s="89">
        <f>USD!V99</f>
        <v>0.7</v>
      </c>
      <c r="W99" s="89">
        <f>USD!W99</f>
        <v>0.85</v>
      </c>
      <c r="X99" s="89">
        <f>USD!X99</f>
        <v>0.95</v>
      </c>
      <c r="Y99" s="89">
        <f>USD!Y99</f>
        <v>1</v>
      </c>
      <c r="Z99" s="89">
        <f>USD!Z99</f>
        <v>0.9</v>
      </c>
      <c r="AA99" s="89">
        <f>USD!AA99</f>
        <v>0.85</v>
      </c>
    </row>
    <row r="100" spans="15:27" ht="12.75">
      <c r="O100" s="192" t="str">
        <f>USD!O100</f>
        <v>г. Хабаровск</v>
      </c>
      <c r="P100" s="88">
        <f>USD!P100</f>
        <v>120</v>
      </c>
      <c r="Q100" s="88">
        <f>USD!Q100</f>
        <v>100</v>
      </c>
      <c r="R100" s="89">
        <f>USD!R100</f>
        <v>0.95</v>
      </c>
      <c r="S100" s="89">
        <f>USD!S100</f>
        <v>0.95</v>
      </c>
      <c r="T100" s="89">
        <f>USD!T100</f>
        <v>0.9</v>
      </c>
      <c r="U100" s="89">
        <f>USD!U100</f>
        <v>0.95</v>
      </c>
      <c r="V100" s="89">
        <f>USD!V100</f>
        <v>0.95</v>
      </c>
      <c r="W100" s="89">
        <f>USD!W100</f>
        <v>0.95</v>
      </c>
      <c r="X100" s="89">
        <f>USD!X100</f>
        <v>0.95</v>
      </c>
      <c r="Y100" s="89">
        <f>USD!Y100</f>
        <v>1</v>
      </c>
      <c r="Z100" s="89">
        <f>USD!Z100</f>
        <v>0.9</v>
      </c>
      <c r="AA100" s="89">
        <f>USD!AA100</f>
        <v>0.85</v>
      </c>
    </row>
    <row r="101" spans="15:27" ht="12.75">
      <c r="O101" s="192" t="str">
        <f>USD!O101</f>
        <v>Челябинская область (не включая г. Челябинск)</v>
      </c>
      <c r="P101" s="88">
        <f>USD!P101</f>
        <v>100</v>
      </c>
      <c r="Q101" s="88">
        <f>USD!Q101</f>
        <v>85</v>
      </c>
      <c r="R101" s="89">
        <f>USD!R101</f>
        <v>0.85</v>
      </c>
      <c r="S101" s="89">
        <f>USD!S101</f>
        <v>0.85</v>
      </c>
      <c r="T101" s="89">
        <f>USD!T101</f>
        <v>0.7</v>
      </c>
      <c r="U101" s="89">
        <f>USD!U101</f>
        <v>0.85</v>
      </c>
      <c r="V101" s="89">
        <f>USD!V101</f>
        <v>0.7</v>
      </c>
      <c r="W101" s="89">
        <f>USD!W101</f>
        <v>0.85</v>
      </c>
      <c r="X101" s="89">
        <f>USD!X101</f>
        <v>0.95</v>
      </c>
      <c r="Y101" s="89">
        <f>USD!Y101</f>
        <v>1</v>
      </c>
      <c r="Z101" s="89">
        <f>USD!Z101</f>
        <v>0.9</v>
      </c>
      <c r="AA101" s="89">
        <f>USD!AA101</f>
        <v>0.85</v>
      </c>
    </row>
    <row r="102" spans="15:27" ht="12.75">
      <c r="O102" s="192" t="str">
        <f>USD!O102</f>
        <v>г. Челябинск</v>
      </c>
      <c r="P102" s="88">
        <f>USD!P102</f>
        <v>100</v>
      </c>
      <c r="Q102" s="88">
        <f>USD!Q102</f>
        <v>85</v>
      </c>
      <c r="R102" s="89">
        <f>USD!R102</f>
        <v>0.9</v>
      </c>
      <c r="S102" s="89">
        <f>USD!S102</f>
        <v>0.85</v>
      </c>
      <c r="T102" s="89">
        <f>USD!T102</f>
        <v>0.7</v>
      </c>
      <c r="U102" s="89">
        <f>USD!U102</f>
        <v>0.85</v>
      </c>
      <c r="V102" s="89">
        <f>USD!V102</f>
        <v>0.7</v>
      </c>
      <c r="W102" s="89">
        <f>USD!W102</f>
        <v>0.9</v>
      </c>
      <c r="X102" s="89">
        <f>USD!X102</f>
        <v>0.95</v>
      </c>
      <c r="Y102" s="89">
        <f>USD!Y102</f>
        <v>1</v>
      </c>
      <c r="Z102" s="89">
        <f>USD!Z102</f>
        <v>0.9</v>
      </c>
      <c r="AA102" s="89">
        <f>USD!AA102</f>
        <v>0.85</v>
      </c>
    </row>
    <row r="103" spans="15:27" ht="12.75">
      <c r="O103" s="192" t="str">
        <f>USD!O103</f>
        <v>Чувашская республика (включая г. Чебоксары)</v>
      </c>
      <c r="P103" s="88">
        <f>USD!P103</f>
        <v>100</v>
      </c>
      <c r="Q103" s="88">
        <f>USD!Q103</f>
        <v>85</v>
      </c>
      <c r="R103" s="89">
        <f>USD!R103</f>
        <v>0.85</v>
      </c>
      <c r="S103" s="89">
        <f>USD!S103</f>
        <v>0.85</v>
      </c>
      <c r="T103" s="89">
        <f>USD!T103</f>
        <v>0.7</v>
      </c>
      <c r="U103" s="89">
        <f>USD!U103</f>
        <v>0.85</v>
      </c>
      <c r="V103" s="89">
        <f>USD!V103</f>
        <v>0.7</v>
      </c>
      <c r="W103" s="89">
        <f>USD!W103</f>
        <v>0.85</v>
      </c>
      <c r="X103" s="89">
        <f>USD!X103</f>
        <v>0.95</v>
      </c>
      <c r="Y103" s="89">
        <f>USD!Y103</f>
        <v>1</v>
      </c>
      <c r="Z103" s="89">
        <f>USD!Z103</f>
        <v>0.9</v>
      </c>
      <c r="AA103" s="89">
        <f>USD!AA103</f>
        <v>0.85</v>
      </c>
    </row>
    <row r="104" spans="15:27" ht="12.75">
      <c r="O104" s="192" t="str">
        <f>USD!O104</f>
        <v>Ярославская область (не включая г. Ярославль)</v>
      </c>
      <c r="P104" s="88">
        <f>USD!P104</f>
        <v>100</v>
      </c>
      <c r="Q104" s="88">
        <f>USD!Q104</f>
        <v>85</v>
      </c>
      <c r="R104" s="89">
        <f>USD!R104</f>
        <v>0.85</v>
      </c>
      <c r="S104" s="89">
        <f>USD!S104</f>
        <v>0.85</v>
      </c>
      <c r="T104" s="89">
        <f>USD!T104</f>
        <v>0.7</v>
      </c>
      <c r="U104" s="89">
        <f>USD!U104</f>
        <v>0.85</v>
      </c>
      <c r="V104" s="89">
        <f>USD!V104</f>
        <v>0.7</v>
      </c>
      <c r="W104" s="89">
        <f>USD!W104</f>
        <v>0.85</v>
      </c>
      <c r="X104" s="89">
        <f>USD!X104</f>
        <v>0.95</v>
      </c>
      <c r="Y104" s="89">
        <f>USD!Y104</f>
        <v>1</v>
      </c>
      <c r="Z104" s="89">
        <f>USD!Z104</f>
        <v>0.9</v>
      </c>
      <c r="AA104" s="89">
        <f>USD!AA104</f>
        <v>0.85</v>
      </c>
    </row>
    <row r="105" spans="15:27" ht="12.75">
      <c r="O105" s="192" t="str">
        <f>USD!O105</f>
        <v>г. Ярославль</v>
      </c>
      <c r="P105" s="88">
        <f>USD!P105</f>
        <v>100</v>
      </c>
      <c r="Q105" s="88">
        <f>USD!Q105</f>
        <v>85</v>
      </c>
      <c r="R105" s="89">
        <f>USD!R105</f>
        <v>0.9</v>
      </c>
      <c r="S105" s="89">
        <f>USD!S105</f>
        <v>0.85</v>
      </c>
      <c r="T105" s="89">
        <f>USD!T105</f>
        <v>0.7</v>
      </c>
      <c r="U105" s="89">
        <f>USD!U105</f>
        <v>0.85</v>
      </c>
      <c r="V105" s="89">
        <f>USD!V105</f>
        <v>0.7</v>
      </c>
      <c r="W105" s="89">
        <f>USD!W105</f>
        <v>0.9</v>
      </c>
      <c r="X105" s="89">
        <f>USD!X105</f>
        <v>0.95</v>
      </c>
      <c r="Y105" s="89">
        <f>USD!Y105</f>
        <v>1</v>
      </c>
      <c r="Z105" s="89">
        <f>USD!Z105</f>
        <v>0.9</v>
      </c>
      <c r="AA105" s="89">
        <f>USD!AA105</f>
        <v>0.85</v>
      </c>
    </row>
  </sheetData>
  <sheetProtection password="84F1" sheet="1" objects="1" scenarios="1"/>
  <mergeCells count="15">
    <mergeCell ref="D7:F7"/>
    <mergeCell ref="G7:H7"/>
    <mergeCell ref="Y26:AA26"/>
    <mergeCell ref="U26:V26"/>
    <mergeCell ref="W26:X26"/>
    <mergeCell ref="B6:C6"/>
    <mergeCell ref="B2:H2"/>
    <mergeCell ref="A5:B5"/>
    <mergeCell ref="G4:H4"/>
    <mergeCell ref="A4:B4"/>
    <mergeCell ref="E4:F4"/>
    <mergeCell ref="E5:F5"/>
    <mergeCell ref="G5:H5"/>
    <mergeCell ref="G6:H6"/>
    <mergeCell ref="D6:F6"/>
  </mergeCells>
  <dataValidations count="5">
    <dataValidation type="whole" operator="lessThanOrEqual" allowBlank="1" showErrorMessage="1" promptTitle="ошибка " errorTitle="Ошибка ввода" error="Срок кредита не может быть более 25 лет." sqref="C4">
      <formula1>25</formula1>
    </dataValidation>
    <dataValidation operator="lessThanOrEqual" allowBlank="1" showInputMessage="1" showErrorMessage="1" sqref="B10 D12"/>
    <dataValidation type="list" allowBlank="1" showInputMessage="1" showErrorMessage="1" sqref="B2:H2">
      <formula1>$O$28:$O$105</formula1>
    </dataValidation>
    <dataValidation type="list" allowBlank="1" showInputMessage="1" showErrorMessage="1" sqref="G5:H5">
      <formula1>$Q$3:$Q$4</formula1>
    </dataValidation>
    <dataValidation type="whole" allowBlank="1" showInputMessage="1" showErrorMessage="1" sqref="G7:H7">
      <formula1>1</formula1>
      <formula2>6</formula2>
    </dataValidation>
  </dataValidations>
  <printOptions/>
  <pageMargins left="0.75" right="0.75" top="1" bottom="1" header="0.5" footer="0.5"/>
  <pageSetup fitToHeight="1" fitToWidth="1" horizontalDpi="600" verticalDpi="600" orientation="landscape" paperSize="9" scale="9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A104"/>
  <sheetViews>
    <sheetView workbookViewId="0" topLeftCell="A1">
      <selection activeCell="A18" sqref="A18"/>
    </sheetView>
  </sheetViews>
  <sheetFormatPr defaultColWidth="9.00390625" defaultRowHeight="12.75"/>
  <cols>
    <col min="1" max="1" width="29.00390625" style="78" customWidth="1"/>
    <col min="2" max="2" width="16.75390625" style="79" customWidth="1"/>
    <col min="3" max="3" width="6.625" style="79" customWidth="1"/>
    <col min="4" max="4" width="16.75390625" style="79" customWidth="1"/>
    <col min="5" max="5" width="6.625" style="79" customWidth="1"/>
    <col min="6" max="6" width="16.75390625" style="79" customWidth="1"/>
    <col min="7" max="7" width="6.625" style="79" customWidth="1"/>
    <col min="8" max="8" width="16.75390625" style="79" customWidth="1"/>
    <col min="9" max="9" width="6.625" style="79" customWidth="1"/>
    <col min="10" max="10" width="16.75390625" style="79" customWidth="1"/>
    <col min="11" max="11" width="6.875" style="79" customWidth="1"/>
    <col min="12" max="12" width="19.00390625" style="79" bestFit="1" customWidth="1"/>
    <col min="13" max="13" width="9.125" style="79" customWidth="1"/>
    <col min="14" max="14" width="21.125" style="79" hidden="1" customWidth="1"/>
    <col min="15" max="15" width="10.00390625" style="79" hidden="1" customWidth="1"/>
    <col min="16" max="16" width="12.75390625" style="79" hidden="1" customWidth="1"/>
    <col min="17" max="17" width="13.375" style="79" hidden="1" customWidth="1"/>
    <col min="18" max="18" width="12.75390625" style="79" hidden="1" customWidth="1"/>
    <col min="19" max="19" width="0" style="79" hidden="1" customWidth="1"/>
    <col min="20" max="20" width="12.125" style="79" hidden="1" customWidth="1"/>
    <col min="21" max="21" width="10.875" style="79" hidden="1" customWidth="1"/>
    <col min="22" max="27" width="0" style="79" hidden="1" customWidth="1"/>
    <col min="28" max="16384" width="9.125" style="79" customWidth="1"/>
  </cols>
  <sheetData>
    <row r="1" ht="9" customHeight="1" thickBot="1"/>
    <row r="2" spans="1:15" ht="17.25" thickBot="1" thickTop="1">
      <c r="A2" s="31" t="s">
        <v>26</v>
      </c>
      <c r="B2" s="200" t="s">
        <v>141</v>
      </c>
      <c r="C2" s="201"/>
      <c r="D2" s="201"/>
      <c r="E2" s="201"/>
      <c r="F2" s="201"/>
      <c r="G2" s="201"/>
      <c r="H2" s="202"/>
      <c r="J2" s="32">
        <f>O2</f>
        <v>100</v>
      </c>
      <c r="N2" s="77"/>
      <c r="O2" s="172">
        <f>IF(C6&gt;=USD!V114,O6,O5)</f>
        <v>100</v>
      </c>
    </row>
    <row r="3" spans="14:15" ht="9" customHeight="1" thickBot="1" thickTop="1">
      <c r="N3" s="77"/>
      <c r="O3" s="77">
        <f>VLOOKUP(B2,O27:W104,9,FALSE)</f>
        <v>0.85</v>
      </c>
    </row>
    <row r="4" spans="6:19" ht="17.25" thickBot="1" thickTop="1">
      <c r="F4" s="252" t="s">
        <v>62</v>
      </c>
      <c r="G4" s="253"/>
      <c r="H4" s="249" t="s">
        <v>21</v>
      </c>
      <c r="I4" s="250"/>
      <c r="J4" s="251"/>
      <c r="K4" s="144"/>
      <c r="L4" s="144"/>
      <c r="M4" s="145"/>
      <c r="N4" s="77"/>
      <c r="O4" s="77"/>
      <c r="R4" s="79">
        <v>1</v>
      </c>
      <c r="S4" s="77" t="s">
        <v>22</v>
      </c>
    </row>
    <row r="5" spans="1:19" ht="17.25" thickBot="1" thickTop="1">
      <c r="A5" s="194" t="s">
        <v>0</v>
      </c>
      <c r="B5" s="195"/>
      <c r="C5" s="33">
        <v>10</v>
      </c>
      <c r="D5" s="54" t="s">
        <v>1</v>
      </c>
      <c r="E5" s="159"/>
      <c r="F5" s="254" t="s">
        <v>63</v>
      </c>
      <c r="G5" s="254"/>
      <c r="H5" s="255"/>
      <c r="I5" s="247">
        <f>IF(H4=S5,Q8,Q7)</f>
        <v>0.095</v>
      </c>
      <c r="J5" s="248"/>
      <c r="K5" s="147"/>
      <c r="L5" s="147"/>
      <c r="N5" s="77"/>
      <c r="O5" s="172">
        <f>VLOOKUP(B2,O27:P104,2,FALSE)</f>
        <v>100</v>
      </c>
      <c r="R5" s="79">
        <v>2</v>
      </c>
      <c r="S5" s="77" t="s">
        <v>21</v>
      </c>
    </row>
    <row r="6" spans="1:15" ht="17.25" thickBot="1" thickTop="1">
      <c r="A6" s="203" t="s">
        <v>3</v>
      </c>
      <c r="B6" s="204"/>
      <c r="C6" s="33">
        <v>1</v>
      </c>
      <c r="E6" s="148"/>
      <c r="F6" s="149"/>
      <c r="G6" s="150"/>
      <c r="H6" s="160"/>
      <c r="I6" s="150"/>
      <c r="J6" s="150"/>
      <c r="N6" s="172">
        <f>O2*C6</f>
        <v>100</v>
      </c>
      <c r="O6" s="172">
        <f>VLOOKUP(B2,O27:Q104,3,FALSE)</f>
        <v>85</v>
      </c>
    </row>
    <row r="7" spans="2:17" ht="26.25" thickTop="1">
      <c r="B7" s="27" t="s">
        <v>4</v>
      </c>
      <c r="D7" s="27" t="s">
        <v>5</v>
      </c>
      <c r="F7" s="27" t="s">
        <v>6</v>
      </c>
      <c r="H7" s="27" t="s">
        <v>8</v>
      </c>
      <c r="J7" s="27" t="s">
        <v>7</v>
      </c>
      <c r="L7" s="124"/>
      <c r="Q7" s="79">
        <f>IF(C5&lt;=USD!O148,IF(J18&lt;USD!P146,USD!P148,IF(J18&lt;USD!Q146,USD!Q148,IF(J18&lt;USD!R146,USD!R148,USD!S148))),IF(C5&lt;=USD!O149,IF(J18&lt;USD!P146,USD!P149,IF(J18&lt;USD!Q146,USD!Q149,IF(J18&lt;USD!R146,USD!R149,USD!S149))),IF(C5&lt;=USD!O150,IF(J18&lt;USD!P146,USD!P150,IF(J18&lt;USD!Q146,USD!Q150,IF(J18&lt;USD!R146,USD!R150,USD!S150))),IF(C5&lt;=USD!O151,IF(J18&lt;USD!P146,USD!P151,IF(J18&lt;USD!Q146,USD!Q151,IF(J18&lt;USD!R146,USD!R151,USD!S151))),IF(C5&lt;=USD!O152,IF(J18&lt;USD!P146,USD!P152,IF(J18&lt;USD!Q146,USD!Q152,IF(J18&lt;USD!R146,USD!R152,USD!S152))),10)))))</f>
        <v>0.105</v>
      </c>
    </row>
    <row r="8" spans="2:17" ht="9" customHeight="1" thickBot="1">
      <c r="B8" s="151"/>
      <c r="D8" s="151"/>
      <c r="F8" s="151"/>
      <c r="J8" s="151"/>
      <c r="Q8" s="79">
        <f>IF(C5&lt;=USD!O148,IF(B18&lt;USD!P146,USD!P148,IF(B18&lt;USD!Q146,USD!Q148,IF(B18&lt;USD!R146,USD!R148,USD!S148))),IF(C5&lt;=USD!O149,IF(B18&lt;USD!P146,USD!P149,IF(B18&lt;USD!Q146,USD!Q149,IF(B18&lt;USD!R146,USD!R149,USD!S149))),IF(C5&lt;=USD!O150,IF(B18&lt;USD!P146,USD!P150,IF(B18&lt;USD!Q146,USD!Q150,IF(B18&lt;USD!R146,USD!R150,USD!S150))),IF(C5&lt;=USD!O151,IF(B18&lt;USD!P146,USD!P151,IF(B18&lt;USD!Q146,USD!Q151,IF(B18&lt;USD!R146,USD!R151,USD!S151))),IF(C5&lt;=USD!O152,IF(B18&lt;USD!P146,USD!P152,IF(B18&lt;USD!Q146,USD!Q152,IF(B18&lt;USD!R146,USD!R152,USD!S152))),10)))))</f>
        <v>0.095</v>
      </c>
    </row>
    <row r="9" spans="1:12" ht="27" customHeight="1" thickBot="1" thickTop="1">
      <c r="A9" s="31" t="s">
        <v>9</v>
      </c>
      <c r="B9" s="39">
        <v>54720</v>
      </c>
      <c r="C9" s="126"/>
      <c r="D9" s="41">
        <f>IF(H4=S5,D11/O3,0)</f>
        <v>54720</v>
      </c>
      <c r="E9" s="126"/>
      <c r="F9" s="41">
        <f>IF(H4=S5,F11/O3,0)</f>
        <v>52187.05882352941</v>
      </c>
      <c r="G9" s="126"/>
      <c r="H9" s="42">
        <f>IF(H4=S5,IF(O3=1,H20/O3,H20/(1-O3)),0)</f>
        <v>54719.99999999999</v>
      </c>
      <c r="I9" s="126"/>
      <c r="J9" s="41">
        <f>IF(H4=S5,0,J11/O3)</f>
        <v>0</v>
      </c>
      <c r="K9" s="126"/>
      <c r="L9" s="128"/>
    </row>
    <row r="10" spans="2:12" ht="9" customHeight="1" thickBot="1" thickTop="1">
      <c r="B10" s="126"/>
      <c r="C10" s="126"/>
      <c r="D10" s="126"/>
      <c r="E10" s="126"/>
      <c r="F10" s="126"/>
      <c r="G10" s="126"/>
      <c r="H10" s="126"/>
      <c r="I10" s="126"/>
      <c r="J10" s="126"/>
      <c r="K10" s="126"/>
      <c r="L10" s="152"/>
    </row>
    <row r="11" spans="1:21" s="83" customFormat="1" ht="27" customHeight="1" thickBot="1" thickTop="1">
      <c r="A11" s="31" t="s">
        <v>10</v>
      </c>
      <c r="B11" s="43">
        <f>IF(H4=S5,ROUND(B9*O3,0),0)</f>
        <v>46512</v>
      </c>
      <c r="C11" s="153"/>
      <c r="D11" s="44">
        <v>46512</v>
      </c>
      <c r="E11" s="127"/>
      <c r="F11" s="43">
        <f>IF(H4=S5,ROUND(F13/(($I$5/12)/(1-(1+($I$5/12))^-($C$5*12))),0),0)</f>
        <v>44359</v>
      </c>
      <c r="G11" s="127"/>
      <c r="H11" s="45">
        <f>IF(H4=S5,IF(O3=1,H9,H9-H20),0)</f>
        <v>46511.99999999999</v>
      </c>
      <c r="I11" s="127"/>
      <c r="J11" s="43">
        <f>IF(H4=S5,0,ROUND(J13/(($I$5/12)/(1-(1+($I$5/12))^-($C$5*12))),0))</f>
        <v>0</v>
      </c>
      <c r="K11" s="127"/>
      <c r="L11" s="154"/>
      <c r="N11" s="81">
        <f>(B13+$N$6)/USD!$T$123</f>
        <v>1170</v>
      </c>
      <c r="O11" s="81">
        <f>B13/USD!$S$123</f>
        <v>1505</v>
      </c>
      <c r="P11" s="81">
        <f>(D13+$N$6)/USD!$T$123</f>
        <v>1170</v>
      </c>
      <c r="Q11" s="81">
        <f>D13/USD!$S$123</f>
        <v>1505</v>
      </c>
      <c r="R11" s="81">
        <f>(F13+$N$6)/USD!$T$123</f>
        <v>1123.3333333333335</v>
      </c>
      <c r="S11" s="81">
        <f>F13/USD!$S$123</f>
        <v>1435</v>
      </c>
      <c r="T11" s="81">
        <f>(H13+$N$6)/USD!$T$123</f>
        <v>1170</v>
      </c>
      <c r="U11" s="81">
        <f>H13/USD!$S$123</f>
        <v>1505</v>
      </c>
    </row>
    <row r="12" spans="1:21" ht="9" customHeight="1" thickBot="1" thickTop="1">
      <c r="A12" s="82"/>
      <c r="B12" s="127"/>
      <c r="C12" s="127"/>
      <c r="D12" s="127"/>
      <c r="E12" s="126"/>
      <c r="F12" s="127"/>
      <c r="G12" s="126"/>
      <c r="H12" s="127"/>
      <c r="I12" s="126"/>
      <c r="J12" s="127"/>
      <c r="K12" s="126"/>
      <c r="L12" s="155"/>
      <c r="N12" s="80"/>
      <c r="O12" s="81">
        <f>USD!$R$123+0.01</f>
        <v>1000.01</v>
      </c>
      <c r="P12" s="80"/>
      <c r="Q12" s="81">
        <f>USD!$R$123+0.01</f>
        <v>1000.01</v>
      </c>
      <c r="R12" s="80"/>
      <c r="S12" s="81">
        <f>USD!$R$123+0.01</f>
        <v>1000.01</v>
      </c>
      <c r="T12" s="80"/>
      <c r="U12" s="81">
        <f>USD!$R$123+0.01</f>
        <v>1000.01</v>
      </c>
    </row>
    <row r="13" spans="1:21" s="85" customFormat="1" ht="27" customHeight="1" thickBot="1" thickTop="1">
      <c r="A13" s="37" t="s">
        <v>11</v>
      </c>
      <c r="B13" s="46">
        <f>ROUND(B11*(($I$5/12)/(1-(1+($I$5/12))^-($C$5*12))),0)</f>
        <v>602</v>
      </c>
      <c r="C13" s="155"/>
      <c r="D13" s="46">
        <f>IF(H4=S5,ROUND(D11*(($I$5/12)/(1-(1+($I$5/12))^-($C$5*12))),0),0)</f>
        <v>602</v>
      </c>
      <c r="E13" s="152"/>
      <c r="F13" s="48">
        <v>574</v>
      </c>
      <c r="G13" s="152"/>
      <c r="H13" s="46">
        <f>IF(H4=S5,ROUND(H11*(($I$5/12)/(1-(1+($I$5/12))^-($C$5*12))),0),0)</f>
        <v>602</v>
      </c>
      <c r="I13" s="152"/>
      <c r="J13" s="46">
        <f>IF(J15=0,0,IF(J15&lt;=USD!R123,MIN(J15*USD!T123-N6,J15*USD!S123),IF(J15&lt;=USD!R124,MIN(J15*USD!T124-N6,J15*USD!S124),IF(J15&lt;=USD!R125,MIN(J15*USD!T125-N6,J15*USD!S125),IF(J15&lt;=USD!R126,MIN(J15*USD!T126-N6,J15*USD!S126),IF(J15&lt;=USD!R127,MIN(J15*USD!T127-N6,J15*USD!S127),IF(J15&lt;=USD!R128,MIN(J15*USD!T128-N6,J15*USD!S128),MIN(J15*USD!T129-N6,J15*USD!S129))))))))</f>
        <v>0</v>
      </c>
      <c r="K13" s="152"/>
      <c r="L13" s="128"/>
      <c r="N13" s="81">
        <f>(B13+$N$6)/USD!$T$124</f>
        <v>1080</v>
      </c>
      <c r="O13" s="81">
        <f>B13/USD!$S$124</f>
        <v>1337.7777777777778</v>
      </c>
      <c r="P13" s="81">
        <f>(D13+$N$6)/USD!$T$124</f>
        <v>1080</v>
      </c>
      <c r="Q13" s="81">
        <f>D13/USD!$S$124</f>
        <v>1337.7777777777778</v>
      </c>
      <c r="R13" s="81">
        <f>(F13+$N$6)/USD!$T$124</f>
        <v>1036.923076923077</v>
      </c>
      <c r="S13" s="81">
        <f>F13/USD!$S$124</f>
        <v>1275.5555555555554</v>
      </c>
      <c r="T13" s="81">
        <f>(H13+$N$6)/USD!$T$124</f>
        <v>1080</v>
      </c>
      <c r="U13" s="81">
        <f>H13/USD!$S$124</f>
        <v>1337.7777777777778</v>
      </c>
    </row>
    <row r="14" spans="2:21" ht="9" customHeight="1" thickBot="1" thickTop="1">
      <c r="B14" s="126"/>
      <c r="C14" s="126"/>
      <c r="D14" s="126"/>
      <c r="E14" s="126"/>
      <c r="F14" s="126"/>
      <c r="G14" s="126"/>
      <c r="H14" s="126"/>
      <c r="I14" s="126"/>
      <c r="J14" s="126"/>
      <c r="K14" s="126"/>
      <c r="L14" s="152"/>
      <c r="N14" s="81"/>
      <c r="O14" s="81">
        <f>USD!$R$124+0.01</f>
        <v>2000.01</v>
      </c>
      <c r="P14" s="81"/>
      <c r="Q14" s="81">
        <f>USD!$R$124+0.01</f>
        <v>2000.01</v>
      </c>
      <c r="R14" s="81"/>
      <c r="S14" s="81">
        <f>USD!$R$124+0.01</f>
        <v>2000.01</v>
      </c>
      <c r="T14" s="81"/>
      <c r="U14" s="81">
        <f>USD!$R$124+0.01</f>
        <v>2000.01</v>
      </c>
    </row>
    <row r="15" spans="1:21" ht="27" customHeight="1" thickBot="1" thickTop="1">
      <c r="A15" s="38" t="s">
        <v>12</v>
      </c>
      <c r="B15" s="49">
        <f>IF(B11=0,0,IF(MAX(N11:O11)&lt;=USD!$R$123,MAX(N11:O11),IF(MAX(N13:O13)&lt;=USD!$R$124,MAX(N12:O13),IF(MAX(N15:O15)&lt;=USD!$R$125,MAX(N14:O15),IF(MAX(N17:O17)&lt;=USD!$R$126,MAX(N16:O17),IF(MAX(N19:O19)&lt;=USD!$R$127,MAX(N18:O19),IF(MAX(N21:O21)&lt;=USD!$R$128,MAX(N20:O21),MAX(N22:O23))))))))</f>
        <v>1337.7777777777778</v>
      </c>
      <c r="C15" s="157"/>
      <c r="D15" s="49">
        <f>IF(D11=0,0,IF(MAX(P11:Q11)&lt;=USD!$R$123,MAX(P11:Q11),IF(MAX(P13:Q13)&lt;=USD!$R$124,MAX(P12:Q13),IF(MAX(P15:Q15)&lt;=USD!$R$125,MAX(P14:Q15),IF(MAX(P17:Q17)&lt;=USD!$R$126,MAX(P16:Q17),IF(MAX(P19:Q19)&lt;=USD!$R$127,MAX(P18:Q19),IF(MAX(P21:Q21)&lt;=USD!$R$128,MAX(P20:Q21),MAX(P22:Q23))))))))</f>
        <v>1337.7777777777778</v>
      </c>
      <c r="E15" s="126"/>
      <c r="F15" s="49">
        <f>IF(F11=0,0,IF(MAX(R11:S11)&lt;=USD!$R$123,MAX(R11:S11),IF(MAX(R13:S13)&lt;=USD!$R$124,MAX(R12:S13),IF(MAX(R15:S15)&lt;=USD!$R$125,MAX(R14:S15),IF(MAX(R17:S17)&lt;=USD!$R$126,MAX(R16:S17),IF(MAX(R19:S19)&lt;=USD!$R$127,MAX(R18:S19),IF(MAX(R21:S21)&lt;=USD!$R$128,MAX(R20:S21),MAX(R22:S23))))))))</f>
        <v>1275.5555555555554</v>
      </c>
      <c r="G15" s="126"/>
      <c r="H15" s="49">
        <f>IF(H11=0,0,IF(MAX(T11:U11)&lt;=USD!$R$123,MAX(T11:U11),IF(MAX(T13:U13)&lt;=USD!$R$124,MAX(T12:U13),IF(MAX(T15:U15)&lt;=USD!$R$125,MAX(T14:U15),IF(MAX(T17:U17)&lt;=USD!$R$126,MAX(T16:U17),IF(MAX(T19:U19)&lt;=USD!$R$127,MAX(T18:U19),IF(MAX(T21:U21)&lt;=USD!$R$128,MAX(T20:U21),MAX(T22:U23))))))))</f>
        <v>1337.7777777777778</v>
      </c>
      <c r="I15" s="126"/>
      <c r="J15" s="161">
        <f>IF(H4=S5,0,J16+J17)</f>
        <v>0</v>
      </c>
      <c r="K15" s="126"/>
      <c r="L15" s="128"/>
      <c r="N15" s="81">
        <f>(B13+$N$6)/USD!$T$125</f>
        <v>1002.8571428571429</v>
      </c>
      <c r="O15" s="81">
        <f>B13/USD!$S$125</f>
        <v>1204</v>
      </c>
      <c r="P15" s="81">
        <f>(D13+$N$6)/USD!$T$125</f>
        <v>1002.8571428571429</v>
      </c>
      <c r="Q15" s="81">
        <f>D13/USD!$S$125</f>
        <v>1204</v>
      </c>
      <c r="R15" s="81">
        <f>(F13+$N$6)/USD!$T$125</f>
        <v>962.8571428571429</v>
      </c>
      <c r="S15" s="81">
        <f>F13/USD!$S$125</f>
        <v>1148</v>
      </c>
      <c r="T15" s="81">
        <f>(H13+$N$6)/USD!$T$125</f>
        <v>1002.8571428571429</v>
      </c>
      <c r="U15" s="81">
        <f>H13/USD!$S$125</f>
        <v>1204</v>
      </c>
    </row>
    <row r="16" spans="1:21" ht="27" customHeight="1" thickBot="1" thickTop="1">
      <c r="A16" s="38" t="s">
        <v>59</v>
      </c>
      <c r="B16" s="128"/>
      <c r="C16" s="157"/>
      <c r="D16" s="128"/>
      <c r="E16" s="152"/>
      <c r="F16" s="128"/>
      <c r="G16" s="152"/>
      <c r="H16" s="128"/>
      <c r="I16" s="152"/>
      <c r="J16" s="51">
        <v>1276</v>
      </c>
      <c r="K16" s="152"/>
      <c r="L16" s="128"/>
      <c r="N16" s="81"/>
      <c r="O16" s="81">
        <f>USD!$R$125+0.01</f>
        <v>3000.01</v>
      </c>
      <c r="P16" s="81"/>
      <c r="Q16" s="81">
        <f>USD!$R$125+0.01</f>
        <v>3000.01</v>
      </c>
      <c r="R16" s="81"/>
      <c r="S16" s="81">
        <f>USD!$R$125+0.01</f>
        <v>3000.01</v>
      </c>
      <c r="T16" s="81"/>
      <c r="U16" s="81">
        <f>USD!$R$125+0.01</f>
        <v>3000.01</v>
      </c>
    </row>
    <row r="17" spans="1:21" ht="27" customHeight="1" thickBot="1" thickTop="1">
      <c r="A17" s="38" t="s">
        <v>60</v>
      </c>
      <c r="B17" s="128"/>
      <c r="C17" s="157"/>
      <c r="D17" s="128"/>
      <c r="E17" s="152"/>
      <c r="F17" s="128"/>
      <c r="G17" s="152"/>
      <c r="H17" s="128"/>
      <c r="I17" s="152"/>
      <c r="J17" s="51">
        <v>4000</v>
      </c>
      <c r="K17" s="152"/>
      <c r="L17" s="128"/>
      <c r="N17" s="81">
        <f>(B13+$N$6)/USD!$T$126</f>
        <v>936</v>
      </c>
      <c r="O17" s="81">
        <f>B13/USD!$S$126</f>
        <v>1094.5454545454545</v>
      </c>
      <c r="P17" s="81">
        <f>(D13+$N$6)/USD!$T$126</f>
        <v>936</v>
      </c>
      <c r="Q17" s="81">
        <f>D13/USD!$S$126</f>
        <v>1094.5454545454545</v>
      </c>
      <c r="R17" s="81">
        <f>(F13+$N$6)/USD!$T$126</f>
        <v>898.6666666666666</v>
      </c>
      <c r="S17" s="81">
        <f>F13/USD!$S$126</f>
        <v>1043.6363636363635</v>
      </c>
      <c r="T17" s="81">
        <f>(H13+$N$6)/USD!$T$126</f>
        <v>936</v>
      </c>
      <c r="U17" s="81">
        <f>H13/USD!$S$126</f>
        <v>1094.5454545454545</v>
      </c>
    </row>
    <row r="18" spans="1:21" ht="27" customHeight="1" thickBot="1" thickTop="1">
      <c r="A18" s="38" t="s">
        <v>61</v>
      </c>
      <c r="B18" s="256">
        <v>0.45</v>
      </c>
      <c r="C18" s="257"/>
      <c r="D18" s="257"/>
      <c r="E18" s="257"/>
      <c r="F18" s="257"/>
      <c r="G18" s="257"/>
      <c r="H18" s="258"/>
      <c r="I18" s="152"/>
      <c r="J18" s="162">
        <f>J16/(J16+J17)</f>
        <v>0.24184988627748294</v>
      </c>
      <c r="K18" s="152"/>
      <c r="L18" s="173"/>
      <c r="O18" s="81">
        <f>USD!$R$126+0.01</f>
        <v>6000.01</v>
      </c>
      <c r="Q18" s="81">
        <f>USD!$R$126+0.01</f>
        <v>6000.01</v>
      </c>
      <c r="S18" s="81">
        <f>USD!$R$126+0.01</f>
        <v>6000.01</v>
      </c>
      <c r="U18" s="81">
        <f>USD!$R$126+0.01</f>
        <v>6000.01</v>
      </c>
    </row>
    <row r="19" spans="3:21" ht="9" customHeight="1" thickBot="1">
      <c r="C19" s="126"/>
      <c r="D19" s="126"/>
      <c r="E19" s="126"/>
      <c r="F19" s="126"/>
      <c r="G19" s="126"/>
      <c r="H19" s="126"/>
      <c r="I19" s="126"/>
      <c r="J19" s="126"/>
      <c r="K19" s="126"/>
      <c r="L19" s="152"/>
      <c r="N19" s="81">
        <f>(B13+$N$6)/USD!$T$127</f>
        <v>877.5</v>
      </c>
      <c r="O19" s="81">
        <f>B13/USD!$S$127</f>
        <v>1003.3333333333334</v>
      </c>
      <c r="P19" s="81">
        <f>(D13+$N$6)/USD!$T$127</f>
        <v>877.5</v>
      </c>
      <c r="Q19" s="81">
        <f>D13/USD!$S$127</f>
        <v>1003.3333333333334</v>
      </c>
      <c r="R19" s="81">
        <f>(F13+$N$6)/USD!$T$127</f>
        <v>842.5</v>
      </c>
      <c r="S19" s="81">
        <f>F13/USD!$S$127</f>
        <v>956.6666666666667</v>
      </c>
      <c r="T19" s="81">
        <f>(H13+$N$6)/USD!$T$127</f>
        <v>877.5</v>
      </c>
      <c r="U19" s="81">
        <f>H13/USD!$S$127</f>
        <v>1003.3333333333334</v>
      </c>
    </row>
    <row r="20" spans="1:21" ht="27" customHeight="1" thickBot="1" thickTop="1">
      <c r="A20" s="31" t="s">
        <v>13</v>
      </c>
      <c r="B20" s="52">
        <f>IF(H4=S5,B9-B11,0)</f>
        <v>8208</v>
      </c>
      <c r="C20" s="126"/>
      <c r="D20" s="52">
        <f>IF(H4=S5,D9-D11,0)</f>
        <v>8208</v>
      </c>
      <c r="E20" s="126"/>
      <c r="F20" s="52">
        <f>IF(H4=S5,F9-F11,0)</f>
        <v>7828.058823529413</v>
      </c>
      <c r="G20" s="126"/>
      <c r="H20" s="53">
        <v>8208</v>
      </c>
      <c r="I20" s="126"/>
      <c r="J20" s="52">
        <f>IF(H4=S5,0,J9-J11)</f>
        <v>0</v>
      </c>
      <c r="K20" s="126"/>
      <c r="L20" s="154"/>
      <c r="O20" s="81">
        <f>USD!$R$127+0.01</f>
        <v>9000.01</v>
      </c>
      <c r="Q20" s="81">
        <f>USD!$R$127+0.01</f>
        <v>9000.01</v>
      </c>
      <c r="S20" s="81">
        <f>USD!$R$127+0.01</f>
        <v>9000.01</v>
      </c>
      <c r="U20" s="81">
        <f>USD!$R$127+0.01</f>
        <v>9000.01</v>
      </c>
    </row>
    <row r="21" spans="14:21" ht="9" customHeight="1" thickTop="1">
      <c r="N21" s="81">
        <f>(B13+$N$6)/USD!$T$128</f>
        <v>825.8823529411765</v>
      </c>
      <c r="O21" s="81">
        <f>B13/USD!$S$128</f>
        <v>926.1538461538461</v>
      </c>
      <c r="P21" s="81">
        <f>(D13+$N$6)/USD!$T$128</f>
        <v>825.8823529411765</v>
      </c>
      <c r="Q21" s="81">
        <f>D13/USD!$S$128</f>
        <v>926.1538461538461</v>
      </c>
      <c r="R21" s="81">
        <f>(F13+$N$6)/USD!$T$128</f>
        <v>792.9411764705883</v>
      </c>
      <c r="S21" s="81">
        <f>F13/USD!$S$128</f>
        <v>883.0769230769231</v>
      </c>
      <c r="T21" s="81">
        <f>(H13+$N$6)/USD!$T$128</f>
        <v>825.8823529411765</v>
      </c>
      <c r="U21" s="81">
        <f>H13/USD!$S$128</f>
        <v>926.1538461538461</v>
      </c>
    </row>
    <row r="22" spans="1:21" ht="12">
      <c r="A22" s="78" t="s">
        <v>23</v>
      </c>
      <c r="O22" s="81">
        <f>USD!$R$128+0.01</f>
        <v>12000.01</v>
      </c>
      <c r="Q22" s="81">
        <f>USD!$R$128+0.01</f>
        <v>12000.01</v>
      </c>
      <c r="S22" s="81">
        <f>USD!$R$128+0.01</f>
        <v>12000.01</v>
      </c>
      <c r="U22" s="81">
        <f>USD!$R$128+0.01</f>
        <v>12000.01</v>
      </c>
    </row>
    <row r="23" spans="1:21" ht="12">
      <c r="A23" s="76" t="s">
        <v>24</v>
      </c>
      <c r="D23" s="126"/>
      <c r="F23" s="158"/>
      <c r="J23" s="126"/>
      <c r="N23" s="81">
        <f>(B13+$N$6)/USD!$T$129</f>
        <v>780</v>
      </c>
      <c r="O23" s="81">
        <f>B13/USD!$S$129</f>
        <v>860</v>
      </c>
      <c r="P23" s="81">
        <f>(D13+$N$6)/USD!$T$129</f>
        <v>780</v>
      </c>
      <c r="Q23" s="81">
        <f>D13/USD!$S$129</f>
        <v>860</v>
      </c>
      <c r="R23" s="81">
        <f>(F13+$N$6)/USD!$T$129</f>
        <v>748.8888888888889</v>
      </c>
      <c r="S23" s="81">
        <f>F13/USD!$S$129</f>
        <v>820</v>
      </c>
      <c r="T23" s="81">
        <f>(H13+$N$6)/USD!$T$129</f>
        <v>780</v>
      </c>
      <c r="U23" s="81">
        <f>H13/USD!$S$129</f>
        <v>860</v>
      </c>
    </row>
    <row r="24" spans="1:21" ht="12">
      <c r="A24" s="76" t="s">
        <v>25</v>
      </c>
      <c r="N24" s="81"/>
      <c r="O24" s="81"/>
      <c r="P24" s="81"/>
      <c r="Q24" s="81"/>
      <c r="R24" s="81"/>
      <c r="S24" s="81"/>
      <c r="T24" s="81"/>
      <c r="U24" s="81"/>
    </row>
    <row r="25" spans="10:27" ht="12.75">
      <c r="J25" s="89"/>
      <c r="O25" s="24"/>
      <c r="P25" s="25"/>
      <c r="Q25" s="30"/>
      <c r="R25" s="175" t="str">
        <f>USD!R26</f>
        <v>Готовое</v>
      </c>
      <c r="S25" s="175" t="str">
        <f>USD!S26</f>
        <v>Стройка</v>
      </c>
      <c r="T25" s="175" t="str">
        <f>USD!T26</f>
        <v>Нецелевой</v>
      </c>
      <c r="U25" s="199" t="str">
        <f>USD!U26</f>
        <v>Рефинансирование</v>
      </c>
      <c r="V25" s="199"/>
      <c r="W25" s="199" t="str">
        <f>USD!W26</f>
        <v>Сотрудники</v>
      </c>
      <c r="X25" s="199"/>
      <c r="Y25" s="199" t="str">
        <f>USD!Y26</f>
        <v>УЖУ</v>
      </c>
      <c r="Z25" s="199"/>
      <c r="AA25" s="199"/>
    </row>
    <row r="26" spans="15:27" ht="12.75">
      <c r="O26" s="24"/>
      <c r="P26" s="25"/>
      <c r="Q26" s="30"/>
      <c r="R26" s="175"/>
      <c r="S26" s="175"/>
      <c r="T26" s="175"/>
      <c r="U26" s="175" t="str">
        <f>USD!U27</f>
        <v>Готовое</v>
      </c>
      <c r="V26" s="175" t="str">
        <f>USD!V27</f>
        <v>Нецелевой</v>
      </c>
      <c r="W26" s="175" t="str">
        <f>USD!W27</f>
        <v>Готовое</v>
      </c>
      <c r="X26" s="175" t="str">
        <f>USD!X27</f>
        <v>Стройка</v>
      </c>
      <c r="Y26" s="175" t="str">
        <f>USD!Y27</f>
        <v>Собств.</v>
      </c>
      <c r="Z26" s="175" t="str">
        <f>USD!Z27</f>
        <v>Собств.+Покуп.</v>
      </c>
      <c r="AA26" s="175" t="str">
        <f>USD!AA27</f>
        <v>Не продается</v>
      </c>
    </row>
    <row r="27" spans="15:27" ht="12">
      <c r="O27" s="87" t="str">
        <f>USD!O28</f>
        <v>Остальные регионы</v>
      </c>
      <c r="P27" s="88">
        <f>USD!P28</f>
        <v>100</v>
      </c>
      <c r="Q27" s="88">
        <f>USD!Q28</f>
        <v>85</v>
      </c>
      <c r="R27" s="176">
        <f>USD!R28</f>
        <v>0.85</v>
      </c>
      <c r="S27" s="176">
        <f>USD!S28</f>
        <v>0.85</v>
      </c>
      <c r="T27" s="176">
        <f>USD!T28</f>
        <v>0.7</v>
      </c>
      <c r="U27" s="176">
        <f>USD!U28</f>
        <v>0.85</v>
      </c>
      <c r="V27" s="176">
        <f>USD!V28</f>
        <v>0.7</v>
      </c>
      <c r="W27" s="176">
        <f>USD!W28</f>
        <v>0.85</v>
      </c>
      <c r="X27" s="176">
        <f>USD!X28</f>
        <v>0.95</v>
      </c>
      <c r="Y27" s="176">
        <f>USD!Y28</f>
        <v>1</v>
      </c>
      <c r="Z27" s="176">
        <f>USD!Z28</f>
        <v>0.9</v>
      </c>
      <c r="AA27" s="176">
        <f>USD!AA28</f>
        <v>0.85</v>
      </c>
    </row>
    <row r="28" spans="15:27" ht="12">
      <c r="O28" s="87" t="str">
        <f>USD!O29</f>
        <v>Архангельская область (не включая г. Архангельск)</v>
      </c>
      <c r="P28" s="88">
        <f>USD!P29</f>
        <v>100</v>
      </c>
      <c r="Q28" s="88">
        <f>USD!Q29</f>
        <v>85</v>
      </c>
      <c r="R28" s="176">
        <f>USD!R29</f>
        <v>0.85</v>
      </c>
      <c r="S28" s="176">
        <f>USD!S29</f>
        <v>0.85</v>
      </c>
      <c r="T28" s="176">
        <f>USD!T29</f>
        <v>0.7</v>
      </c>
      <c r="U28" s="176">
        <f>USD!U29</f>
        <v>0.85</v>
      </c>
      <c r="V28" s="176">
        <f>USD!V29</f>
        <v>0.7</v>
      </c>
      <c r="W28" s="176">
        <f>USD!W29</f>
        <v>0.85</v>
      </c>
      <c r="X28" s="176">
        <f>USD!X29</f>
        <v>0.95</v>
      </c>
      <c r="Y28" s="176">
        <f>USD!Y29</f>
        <v>1</v>
      </c>
      <c r="Z28" s="176">
        <f>USD!Z29</f>
        <v>0.9</v>
      </c>
      <c r="AA28" s="176">
        <f>USD!AA29</f>
        <v>0.85</v>
      </c>
    </row>
    <row r="29" spans="15:27" ht="12">
      <c r="O29" s="87" t="str">
        <f>USD!O30</f>
        <v>г. Архангельск</v>
      </c>
      <c r="P29" s="88">
        <f>USD!P30</f>
        <v>100</v>
      </c>
      <c r="Q29" s="88">
        <f>USD!Q30</f>
        <v>85</v>
      </c>
      <c r="R29" s="176">
        <f>USD!R30</f>
        <v>0.9</v>
      </c>
      <c r="S29" s="176">
        <f>USD!S30</f>
        <v>0.85</v>
      </c>
      <c r="T29" s="176">
        <f>USD!T30</f>
        <v>0.7</v>
      </c>
      <c r="U29" s="176">
        <f>USD!U30</f>
        <v>0.85</v>
      </c>
      <c r="V29" s="176">
        <f>USD!V30</f>
        <v>0.7</v>
      </c>
      <c r="W29" s="176">
        <f>USD!W30</f>
        <v>0.9</v>
      </c>
      <c r="X29" s="176">
        <f>USD!X30</f>
        <v>0.95</v>
      </c>
      <c r="Y29" s="176">
        <f>USD!Y30</f>
        <v>1</v>
      </c>
      <c r="Z29" s="176">
        <f>USD!Z30</f>
        <v>0.9</v>
      </c>
      <c r="AA29" s="176">
        <f>USD!AA30</f>
        <v>0.85</v>
      </c>
    </row>
    <row r="30" spans="15:27" ht="12">
      <c r="O30" s="87" t="str">
        <f>USD!O31</f>
        <v>Астраханская область (не включая г. Астрахань)</v>
      </c>
      <c r="P30" s="88">
        <f>USD!P31</f>
        <v>100</v>
      </c>
      <c r="Q30" s="88">
        <f>USD!Q31</f>
        <v>85</v>
      </c>
      <c r="R30" s="176">
        <f>USD!R31</f>
        <v>0.85</v>
      </c>
      <c r="S30" s="176">
        <f>USD!S31</f>
        <v>0.85</v>
      </c>
      <c r="T30" s="176">
        <f>USD!T31</f>
        <v>0.7</v>
      </c>
      <c r="U30" s="176">
        <f>USD!U31</f>
        <v>0.85</v>
      </c>
      <c r="V30" s="176">
        <f>USD!V31</f>
        <v>0.7</v>
      </c>
      <c r="W30" s="176">
        <f>USD!W31</f>
        <v>0.85</v>
      </c>
      <c r="X30" s="176">
        <f>USD!X31</f>
        <v>0.95</v>
      </c>
      <c r="Y30" s="176">
        <f>USD!Y31</f>
        <v>1</v>
      </c>
      <c r="Z30" s="176">
        <f>USD!Z31</f>
        <v>0.9</v>
      </c>
      <c r="AA30" s="176">
        <f>USD!AA31</f>
        <v>0.85</v>
      </c>
    </row>
    <row r="31" spans="15:27" ht="12">
      <c r="O31" s="87" t="str">
        <f>USD!O32</f>
        <v>г. Астрахань</v>
      </c>
      <c r="P31" s="88">
        <f>USD!P32</f>
        <v>100</v>
      </c>
      <c r="Q31" s="88">
        <f>USD!Q32</f>
        <v>85</v>
      </c>
      <c r="R31" s="176">
        <f>USD!R32</f>
        <v>0.9</v>
      </c>
      <c r="S31" s="176">
        <f>USD!S32</f>
        <v>0.85</v>
      </c>
      <c r="T31" s="176">
        <f>USD!T32</f>
        <v>0.7</v>
      </c>
      <c r="U31" s="176">
        <f>USD!U32</f>
        <v>0.85</v>
      </c>
      <c r="V31" s="176">
        <f>USD!V32</f>
        <v>0.7</v>
      </c>
      <c r="W31" s="176">
        <f>USD!W32</f>
        <v>0.9</v>
      </c>
      <c r="X31" s="176">
        <f>USD!X32</f>
        <v>0.95</v>
      </c>
      <c r="Y31" s="176">
        <f>USD!Y32</f>
        <v>1</v>
      </c>
      <c r="Z31" s="176">
        <f>USD!Z32</f>
        <v>0.9</v>
      </c>
      <c r="AA31" s="176">
        <f>USD!AA32</f>
        <v>0.85</v>
      </c>
    </row>
    <row r="32" spans="15:27" ht="12">
      <c r="O32" s="87" t="str">
        <f>USD!O33</f>
        <v>Алтайский край (не включая г. Барнаул)</v>
      </c>
      <c r="P32" s="88">
        <f>USD!P33</f>
        <v>100</v>
      </c>
      <c r="Q32" s="88">
        <f>USD!Q33</f>
        <v>85</v>
      </c>
      <c r="R32" s="176">
        <f>USD!R33</f>
        <v>0.85</v>
      </c>
      <c r="S32" s="176">
        <f>USD!S33</f>
        <v>0.85</v>
      </c>
      <c r="T32" s="176">
        <f>USD!T33</f>
        <v>0.7</v>
      </c>
      <c r="U32" s="176">
        <f>USD!U33</f>
        <v>0.85</v>
      </c>
      <c r="V32" s="176">
        <f>USD!V33</f>
        <v>0.7</v>
      </c>
      <c r="W32" s="176">
        <f>USD!W33</f>
        <v>0.85</v>
      </c>
      <c r="X32" s="176">
        <f>USD!X33</f>
        <v>0.95</v>
      </c>
      <c r="Y32" s="176">
        <f>USD!Y33</f>
        <v>1</v>
      </c>
      <c r="Z32" s="176">
        <f>USD!Z33</f>
        <v>0.9</v>
      </c>
      <c r="AA32" s="176">
        <f>USD!AA33</f>
        <v>0.85</v>
      </c>
    </row>
    <row r="33" spans="15:27" ht="12">
      <c r="O33" s="87" t="str">
        <f>USD!O34</f>
        <v>г. Барнаул</v>
      </c>
      <c r="P33" s="88">
        <f>USD!P34</f>
        <v>100</v>
      </c>
      <c r="Q33" s="88">
        <f>USD!Q34</f>
        <v>85</v>
      </c>
      <c r="R33" s="176">
        <f>USD!R34</f>
        <v>0.9</v>
      </c>
      <c r="S33" s="176">
        <f>USD!S34</f>
        <v>0.85</v>
      </c>
      <c r="T33" s="176">
        <f>USD!T34</f>
        <v>0.7</v>
      </c>
      <c r="U33" s="176">
        <f>USD!U34</f>
        <v>0.85</v>
      </c>
      <c r="V33" s="176">
        <f>USD!V34</f>
        <v>0.7</v>
      </c>
      <c r="W33" s="176">
        <f>USD!W34</f>
        <v>0.9</v>
      </c>
      <c r="X33" s="176">
        <f>USD!X34</f>
        <v>0.95</v>
      </c>
      <c r="Y33" s="176">
        <f>USD!Y34</f>
        <v>1</v>
      </c>
      <c r="Z33" s="176">
        <f>USD!Z34</f>
        <v>0.9</v>
      </c>
      <c r="AA33" s="176">
        <f>USD!AA34</f>
        <v>0.85</v>
      </c>
    </row>
    <row r="34" spans="15:27" ht="12">
      <c r="O34" s="87" t="str">
        <f>USD!O35</f>
        <v>Белгородская область (не включая г. Белгород)</v>
      </c>
      <c r="P34" s="88">
        <f>USD!P35</f>
        <v>100</v>
      </c>
      <c r="Q34" s="88">
        <f>USD!Q35</f>
        <v>85</v>
      </c>
      <c r="R34" s="176">
        <f>USD!R35</f>
        <v>0.85</v>
      </c>
      <c r="S34" s="176">
        <f>USD!S35</f>
        <v>0.85</v>
      </c>
      <c r="T34" s="176">
        <f>USD!T35</f>
        <v>0.7</v>
      </c>
      <c r="U34" s="176">
        <f>USD!U35</f>
        <v>0.85</v>
      </c>
      <c r="V34" s="176">
        <f>USD!V35</f>
        <v>0.7</v>
      </c>
      <c r="W34" s="176">
        <f>USD!W35</f>
        <v>0.85</v>
      </c>
      <c r="X34" s="176">
        <f>USD!X35</f>
        <v>0.95</v>
      </c>
      <c r="Y34" s="176">
        <f>USD!Y35</f>
        <v>1</v>
      </c>
      <c r="Z34" s="176">
        <f>USD!Z35</f>
        <v>0.9</v>
      </c>
      <c r="AA34" s="176">
        <f>USD!AA35</f>
        <v>0.85</v>
      </c>
    </row>
    <row r="35" spans="15:27" ht="11.25">
      <c r="O35" s="87" t="str">
        <f>USD!O36</f>
        <v>г. Белгород</v>
      </c>
      <c r="P35" s="88">
        <f>USD!P36</f>
        <v>100</v>
      </c>
      <c r="Q35" s="88">
        <f>USD!Q36</f>
        <v>85</v>
      </c>
      <c r="R35" s="176">
        <f>USD!R36</f>
        <v>0.9</v>
      </c>
      <c r="S35" s="176">
        <f>USD!S36</f>
        <v>0.85</v>
      </c>
      <c r="T35" s="176">
        <f>USD!T36</f>
        <v>0.7</v>
      </c>
      <c r="U35" s="176">
        <f>USD!U36</f>
        <v>0.85</v>
      </c>
      <c r="V35" s="176">
        <f>USD!V36</f>
        <v>0.7</v>
      </c>
      <c r="W35" s="176">
        <f>USD!W36</f>
        <v>0.9</v>
      </c>
      <c r="X35" s="176">
        <f>USD!X36</f>
        <v>0.95</v>
      </c>
      <c r="Y35" s="176">
        <f>USD!Y36</f>
        <v>1</v>
      </c>
      <c r="Z35" s="176">
        <f>USD!Z36</f>
        <v>0.9</v>
      </c>
      <c r="AA35" s="176">
        <f>USD!AA36</f>
        <v>0.85</v>
      </c>
    </row>
    <row r="36" spans="15:27" ht="11.25">
      <c r="O36" s="87" t="str">
        <f>USD!O37</f>
        <v>Владимирская область (не включая г. Владимир)</v>
      </c>
      <c r="P36" s="88">
        <f>USD!P37</f>
        <v>100</v>
      </c>
      <c r="Q36" s="88">
        <f>USD!Q37</f>
        <v>85</v>
      </c>
      <c r="R36" s="176">
        <f>USD!R37</f>
        <v>0.85</v>
      </c>
      <c r="S36" s="176">
        <f>USD!S37</f>
        <v>0.85</v>
      </c>
      <c r="T36" s="176">
        <f>USD!T37</f>
        <v>0.7</v>
      </c>
      <c r="U36" s="176">
        <f>USD!U37</f>
        <v>0.85</v>
      </c>
      <c r="V36" s="176">
        <f>USD!V37</f>
        <v>0.7</v>
      </c>
      <c r="W36" s="176">
        <f>USD!W37</f>
        <v>0.85</v>
      </c>
      <c r="X36" s="176">
        <f>USD!X37</f>
        <v>0.95</v>
      </c>
      <c r="Y36" s="176">
        <f>USD!Y37</f>
        <v>1</v>
      </c>
      <c r="Z36" s="176">
        <f>USD!Z37</f>
        <v>0.9</v>
      </c>
      <c r="AA36" s="176">
        <f>USD!AA37</f>
        <v>0.85</v>
      </c>
    </row>
    <row r="37" spans="15:27" ht="11.25">
      <c r="O37" s="87" t="str">
        <f>USD!O38</f>
        <v>г. Владимир</v>
      </c>
      <c r="P37" s="88">
        <f>USD!P38</f>
        <v>100</v>
      </c>
      <c r="Q37" s="88">
        <f>USD!Q38</f>
        <v>85</v>
      </c>
      <c r="R37" s="176">
        <f>USD!R38</f>
        <v>0.9</v>
      </c>
      <c r="S37" s="176">
        <f>USD!S38</f>
        <v>0.85</v>
      </c>
      <c r="T37" s="176">
        <f>USD!T38</f>
        <v>0.7</v>
      </c>
      <c r="U37" s="176">
        <f>USD!U38</f>
        <v>0.85</v>
      </c>
      <c r="V37" s="176">
        <f>USD!V38</f>
        <v>0.7</v>
      </c>
      <c r="W37" s="176">
        <f>USD!W38</f>
        <v>0.9</v>
      </c>
      <c r="X37" s="176">
        <f>USD!X38</f>
        <v>0.95</v>
      </c>
      <c r="Y37" s="176">
        <f>USD!Y38</f>
        <v>1</v>
      </c>
      <c r="Z37" s="176">
        <f>USD!Z38</f>
        <v>0.9</v>
      </c>
      <c r="AA37" s="176">
        <f>USD!AA38</f>
        <v>0.85</v>
      </c>
    </row>
    <row r="38" spans="15:27" ht="11.25">
      <c r="O38" s="87" t="str">
        <f>USD!O39</f>
        <v>Волгоградская область (не включая г. Волгоград)</v>
      </c>
      <c r="P38" s="88">
        <f>USD!P39</f>
        <v>100</v>
      </c>
      <c r="Q38" s="88">
        <f>USD!Q39</f>
        <v>85</v>
      </c>
      <c r="R38" s="176">
        <f>USD!R39</f>
        <v>0.85</v>
      </c>
      <c r="S38" s="176">
        <f>USD!S39</f>
        <v>0.85</v>
      </c>
      <c r="T38" s="176">
        <f>USD!T39</f>
        <v>0.7</v>
      </c>
      <c r="U38" s="176">
        <f>USD!U39</f>
        <v>0.85</v>
      </c>
      <c r="V38" s="176">
        <f>USD!V39</f>
        <v>0.7</v>
      </c>
      <c r="W38" s="176">
        <f>USD!W39</f>
        <v>0.85</v>
      </c>
      <c r="X38" s="176">
        <f>USD!X39</f>
        <v>0.95</v>
      </c>
      <c r="Y38" s="176">
        <f>USD!Y39</f>
        <v>1</v>
      </c>
      <c r="Z38" s="176">
        <f>USD!Z39</f>
        <v>0.9</v>
      </c>
      <c r="AA38" s="176">
        <f>USD!AA39</f>
        <v>0.85</v>
      </c>
    </row>
    <row r="39" spans="15:27" ht="11.25">
      <c r="O39" s="87" t="str">
        <f>USD!O40</f>
        <v>г. Волгоград</v>
      </c>
      <c r="P39" s="88">
        <f>USD!P40</f>
        <v>100</v>
      </c>
      <c r="Q39" s="88">
        <f>USD!Q40</f>
        <v>85</v>
      </c>
      <c r="R39" s="176">
        <f>USD!R40</f>
        <v>0.9</v>
      </c>
      <c r="S39" s="176">
        <f>USD!S40</f>
        <v>0.85</v>
      </c>
      <c r="T39" s="176">
        <f>USD!T40</f>
        <v>0.7</v>
      </c>
      <c r="U39" s="176">
        <f>USD!U40</f>
        <v>0.85</v>
      </c>
      <c r="V39" s="176">
        <f>USD!V40</f>
        <v>0.7</v>
      </c>
      <c r="W39" s="176">
        <f>USD!W40</f>
        <v>0.9</v>
      </c>
      <c r="X39" s="176">
        <f>USD!X40</f>
        <v>0.95</v>
      </c>
      <c r="Y39" s="176">
        <f>USD!Y40</f>
        <v>1</v>
      </c>
      <c r="Z39" s="176">
        <f>USD!Z40</f>
        <v>0.9</v>
      </c>
      <c r="AA39" s="176">
        <f>USD!AA40</f>
        <v>0.85</v>
      </c>
    </row>
    <row r="40" spans="15:27" ht="11.25">
      <c r="O40" s="87" t="str">
        <f>USD!O41</f>
        <v>г. Вологда</v>
      </c>
      <c r="P40" s="88">
        <f>USD!P41</f>
        <v>120</v>
      </c>
      <c r="Q40" s="88">
        <f>USD!Q41</f>
        <v>100</v>
      </c>
      <c r="R40" s="176">
        <f>USD!R41</f>
        <v>0.9</v>
      </c>
      <c r="S40" s="176">
        <f>USD!S41</f>
        <v>0.85</v>
      </c>
      <c r="T40" s="176">
        <f>USD!T41</f>
        <v>0.7</v>
      </c>
      <c r="U40" s="176">
        <f>USD!U41</f>
        <v>0.85</v>
      </c>
      <c r="V40" s="176">
        <f>USD!V41</f>
        <v>0.7</v>
      </c>
      <c r="W40" s="176">
        <f>USD!W41</f>
        <v>0.9</v>
      </c>
      <c r="X40" s="176">
        <f>USD!X41</f>
        <v>0.95</v>
      </c>
      <c r="Y40" s="176">
        <f>USD!Y41</f>
        <v>1</v>
      </c>
      <c r="Z40" s="176">
        <f>USD!Z41</f>
        <v>0.9</v>
      </c>
      <c r="AA40" s="176">
        <f>USD!AA41</f>
        <v>0.85</v>
      </c>
    </row>
    <row r="41" spans="15:27" ht="11.25">
      <c r="O41" s="87" t="str">
        <f>USD!O42</f>
        <v>Воронежская область (включая г. Воронеж)</v>
      </c>
      <c r="P41" s="88">
        <f>USD!P42</f>
        <v>100</v>
      </c>
      <c r="Q41" s="88">
        <f>USD!Q42</f>
        <v>85</v>
      </c>
      <c r="R41" s="176">
        <f>USD!R42</f>
        <v>0.85</v>
      </c>
      <c r="S41" s="176">
        <f>USD!S42</f>
        <v>0.85</v>
      </c>
      <c r="T41" s="176">
        <f>USD!T42</f>
        <v>0.7</v>
      </c>
      <c r="U41" s="176">
        <f>USD!U42</f>
        <v>0.85</v>
      </c>
      <c r="V41" s="176">
        <f>USD!V42</f>
        <v>0.7</v>
      </c>
      <c r="W41" s="176">
        <f>USD!W42</f>
        <v>0.85</v>
      </c>
      <c r="X41" s="176">
        <f>USD!X42</f>
        <v>0.95</v>
      </c>
      <c r="Y41" s="176">
        <f>USD!Y42</f>
        <v>1</v>
      </c>
      <c r="Z41" s="176">
        <f>USD!Z42</f>
        <v>0.9</v>
      </c>
      <c r="AA41" s="176">
        <f>USD!AA42</f>
        <v>0.85</v>
      </c>
    </row>
    <row r="42" spans="15:27" ht="11.25">
      <c r="O42" s="87" t="str">
        <f>USD!O43</f>
        <v>Иркутская область (не включая г. Иркутск и г. Ангарск)</v>
      </c>
      <c r="P42" s="88">
        <f>USD!P43</f>
        <v>120</v>
      </c>
      <c r="Q42" s="88">
        <f>USD!Q43</f>
        <v>100</v>
      </c>
      <c r="R42" s="176">
        <f>USD!R43</f>
        <v>0.85</v>
      </c>
      <c r="S42" s="176">
        <f>USD!S43</f>
        <v>0.85</v>
      </c>
      <c r="T42" s="176">
        <f>USD!T43</f>
        <v>0.7</v>
      </c>
      <c r="U42" s="176">
        <f>USD!U43</f>
        <v>0.85</v>
      </c>
      <c r="V42" s="176">
        <f>USD!V43</f>
        <v>0.7</v>
      </c>
      <c r="W42" s="176">
        <f>USD!W43</f>
        <v>0.85</v>
      </c>
      <c r="X42" s="176">
        <f>USD!X43</f>
        <v>0.95</v>
      </c>
      <c r="Y42" s="176">
        <f>USD!Y43</f>
        <v>1</v>
      </c>
      <c r="Z42" s="176">
        <f>USD!Z43</f>
        <v>0.9</v>
      </c>
      <c r="AA42" s="176">
        <f>USD!AA43</f>
        <v>0.85</v>
      </c>
    </row>
    <row r="43" spans="15:27" ht="11.25">
      <c r="O43" s="87" t="str">
        <f>USD!O44</f>
        <v>г. Иркутск</v>
      </c>
      <c r="P43" s="88">
        <f>USD!P44</f>
        <v>120</v>
      </c>
      <c r="Q43" s="88">
        <f>USD!Q44</f>
        <v>100</v>
      </c>
      <c r="R43" s="176">
        <f>USD!R44</f>
        <v>0.9</v>
      </c>
      <c r="S43" s="176">
        <f>USD!S44</f>
        <v>0.85</v>
      </c>
      <c r="T43" s="176">
        <f>USD!T44</f>
        <v>0.7</v>
      </c>
      <c r="U43" s="176">
        <f>USD!U44</f>
        <v>0.85</v>
      </c>
      <c r="V43" s="176">
        <f>USD!V44</f>
        <v>0.7</v>
      </c>
      <c r="W43" s="176">
        <f>USD!W44</f>
        <v>0.9</v>
      </c>
      <c r="X43" s="176">
        <f>USD!X44</f>
        <v>0.95</v>
      </c>
      <c r="Y43" s="176">
        <f>USD!Y44</f>
        <v>1</v>
      </c>
      <c r="Z43" s="176">
        <f>USD!Z44</f>
        <v>0.9</v>
      </c>
      <c r="AA43" s="176">
        <f>USD!AA44</f>
        <v>0.85</v>
      </c>
    </row>
    <row r="44" spans="15:27" ht="11.25">
      <c r="O44" s="87" t="str">
        <f>USD!O45</f>
        <v>г. Ангарск</v>
      </c>
      <c r="P44" s="88">
        <f>USD!P45</f>
        <v>120</v>
      </c>
      <c r="Q44" s="88">
        <f>USD!Q45</f>
        <v>100</v>
      </c>
      <c r="R44" s="176">
        <f>USD!R45</f>
        <v>0.9</v>
      </c>
      <c r="S44" s="176">
        <f>USD!S45</f>
        <v>0.85</v>
      </c>
      <c r="T44" s="176">
        <f>USD!T45</f>
        <v>0.7</v>
      </c>
      <c r="U44" s="176">
        <f>USD!U45</f>
        <v>0.85</v>
      </c>
      <c r="V44" s="176">
        <f>USD!V45</f>
        <v>0.7</v>
      </c>
      <c r="W44" s="176">
        <f>USD!W45</f>
        <v>0.9</v>
      </c>
      <c r="X44" s="176">
        <f>USD!X45</f>
        <v>0.95</v>
      </c>
      <c r="Y44" s="176">
        <f>USD!Y45</f>
        <v>1</v>
      </c>
      <c r="Z44" s="176">
        <f>USD!Z45</f>
        <v>0.9</v>
      </c>
      <c r="AA44" s="176">
        <f>USD!AA45</f>
        <v>0.85</v>
      </c>
    </row>
    <row r="45" spans="15:27" ht="11.25">
      <c r="O45" s="87" t="str">
        <f>USD!O46</f>
        <v>Калининградская область (не включая г. Калининград)</v>
      </c>
      <c r="P45" s="88">
        <f>USD!P46</f>
        <v>100</v>
      </c>
      <c r="Q45" s="88">
        <f>USD!Q46</f>
        <v>85</v>
      </c>
      <c r="R45" s="176">
        <f>USD!R46</f>
        <v>0.85</v>
      </c>
      <c r="S45" s="176">
        <f>USD!S46</f>
        <v>0.85</v>
      </c>
      <c r="T45" s="176">
        <f>USD!T46</f>
        <v>0.7</v>
      </c>
      <c r="U45" s="176">
        <f>USD!U46</f>
        <v>0.85</v>
      </c>
      <c r="V45" s="176">
        <f>USD!V46</f>
        <v>0.7</v>
      </c>
      <c r="W45" s="176">
        <f>USD!W46</f>
        <v>0.85</v>
      </c>
      <c r="X45" s="176">
        <f>USD!X46</f>
        <v>0.95</v>
      </c>
      <c r="Y45" s="176">
        <f>USD!Y46</f>
        <v>1</v>
      </c>
      <c r="Z45" s="176">
        <f>USD!Z46</f>
        <v>0.9</v>
      </c>
      <c r="AA45" s="176">
        <f>USD!AA46</f>
        <v>0.85</v>
      </c>
    </row>
    <row r="46" spans="15:27" ht="11.25">
      <c r="O46" s="87" t="str">
        <f>USD!O47</f>
        <v>г. Калининград</v>
      </c>
      <c r="P46" s="88">
        <f>USD!P47</f>
        <v>100</v>
      </c>
      <c r="Q46" s="88">
        <f>USD!Q47</f>
        <v>85</v>
      </c>
      <c r="R46" s="176">
        <f>USD!R47</f>
        <v>0.9</v>
      </c>
      <c r="S46" s="176">
        <f>USD!S47</f>
        <v>0.85</v>
      </c>
      <c r="T46" s="176">
        <f>USD!T47</f>
        <v>0.7</v>
      </c>
      <c r="U46" s="176">
        <f>USD!U47</f>
        <v>0.85</v>
      </c>
      <c r="V46" s="176">
        <f>USD!V47</f>
        <v>0.7</v>
      </c>
      <c r="W46" s="176">
        <f>USD!W47</f>
        <v>0.9</v>
      </c>
      <c r="X46" s="176">
        <f>USD!X47</f>
        <v>0.95</v>
      </c>
      <c r="Y46" s="176">
        <f>USD!Y47</f>
        <v>1</v>
      </c>
      <c r="Z46" s="176">
        <f>USD!Z47</f>
        <v>0.9</v>
      </c>
      <c r="AA46" s="176">
        <f>USD!AA47</f>
        <v>0.85</v>
      </c>
    </row>
    <row r="47" spans="15:27" ht="11.25">
      <c r="O47" s="87" t="str">
        <f>USD!O48</f>
        <v>Кемеровская область (не включая г. Кемерово)</v>
      </c>
      <c r="P47" s="88">
        <f>USD!P48</f>
        <v>100</v>
      </c>
      <c r="Q47" s="88">
        <f>USD!Q48</f>
        <v>85</v>
      </c>
      <c r="R47" s="176">
        <f>USD!R48</f>
        <v>0.85</v>
      </c>
      <c r="S47" s="176">
        <f>USD!S48</f>
        <v>0.85</v>
      </c>
      <c r="T47" s="176">
        <f>USD!T48</f>
        <v>0.7</v>
      </c>
      <c r="U47" s="176">
        <f>USD!U48</f>
        <v>0.85</v>
      </c>
      <c r="V47" s="176">
        <f>USD!V48</f>
        <v>0.7</v>
      </c>
      <c r="W47" s="176">
        <f>USD!W48</f>
        <v>0.85</v>
      </c>
      <c r="X47" s="176">
        <f>USD!X48</f>
        <v>0.95</v>
      </c>
      <c r="Y47" s="176">
        <f>USD!Y48</f>
        <v>1</v>
      </c>
      <c r="Z47" s="176">
        <f>USD!Z48</f>
        <v>0.9</v>
      </c>
      <c r="AA47" s="176">
        <f>USD!AA48</f>
        <v>0.85</v>
      </c>
    </row>
    <row r="48" spans="15:27" ht="11.25">
      <c r="O48" s="87" t="str">
        <f>USD!O49</f>
        <v>г. Кемерово</v>
      </c>
      <c r="P48" s="88">
        <f>USD!P49</f>
        <v>100</v>
      </c>
      <c r="Q48" s="88">
        <f>USD!Q49</f>
        <v>85</v>
      </c>
      <c r="R48" s="176">
        <f>USD!R49</f>
        <v>0.9</v>
      </c>
      <c r="S48" s="176">
        <f>USD!S49</f>
        <v>0.85</v>
      </c>
      <c r="T48" s="176">
        <f>USD!T49</f>
        <v>0.7</v>
      </c>
      <c r="U48" s="176">
        <f>USD!U49</f>
        <v>0.85</v>
      </c>
      <c r="V48" s="176">
        <f>USD!V49</f>
        <v>0.7</v>
      </c>
      <c r="W48" s="176">
        <f>USD!W49</f>
        <v>0.9</v>
      </c>
      <c r="X48" s="176">
        <f>USD!X49</f>
        <v>0.95</v>
      </c>
      <c r="Y48" s="176">
        <f>USD!Y49</f>
        <v>1</v>
      </c>
      <c r="Z48" s="176">
        <f>USD!Z49</f>
        <v>0.9</v>
      </c>
      <c r="AA48" s="176">
        <f>USD!AA49</f>
        <v>0.85</v>
      </c>
    </row>
    <row r="49" spans="15:27" ht="11.25">
      <c r="O49" s="87" t="str">
        <f>USD!O50</f>
        <v>Костромская область (не включая г. Кострома)</v>
      </c>
      <c r="P49" s="88">
        <f>USD!P50</f>
        <v>100</v>
      </c>
      <c r="Q49" s="88">
        <f>USD!Q50</f>
        <v>85</v>
      </c>
      <c r="R49" s="176">
        <f>USD!R50</f>
        <v>0.85</v>
      </c>
      <c r="S49" s="176">
        <f>USD!S50</f>
        <v>0.85</v>
      </c>
      <c r="T49" s="176">
        <f>USD!T50</f>
        <v>0.7</v>
      </c>
      <c r="U49" s="176">
        <f>USD!U50</f>
        <v>0.85</v>
      </c>
      <c r="V49" s="176">
        <f>USD!V50</f>
        <v>0.7</v>
      </c>
      <c r="W49" s="176">
        <f>USD!W50</f>
        <v>0.85</v>
      </c>
      <c r="X49" s="176">
        <f>USD!X50</f>
        <v>0.95</v>
      </c>
      <c r="Y49" s="176">
        <f>USD!Y50</f>
        <v>1</v>
      </c>
      <c r="Z49" s="176">
        <f>USD!Z50</f>
        <v>0.9</v>
      </c>
      <c r="AA49" s="176">
        <f>USD!AA50</f>
        <v>0.85</v>
      </c>
    </row>
    <row r="50" spans="15:27" ht="11.25">
      <c r="O50" s="87" t="str">
        <f>USD!O51</f>
        <v>г. Кострома</v>
      </c>
      <c r="P50" s="88">
        <f>USD!P51</f>
        <v>100</v>
      </c>
      <c r="Q50" s="88">
        <f>USD!Q51</f>
        <v>85</v>
      </c>
      <c r="R50" s="176">
        <f>USD!R51</f>
        <v>0.9</v>
      </c>
      <c r="S50" s="176">
        <f>USD!S51</f>
        <v>0.85</v>
      </c>
      <c r="T50" s="176">
        <f>USD!T51</f>
        <v>0.7</v>
      </c>
      <c r="U50" s="176">
        <f>USD!U51</f>
        <v>0.85</v>
      </c>
      <c r="V50" s="176">
        <f>USD!V51</f>
        <v>0.7</v>
      </c>
      <c r="W50" s="176">
        <f>USD!W51</f>
        <v>0.9</v>
      </c>
      <c r="X50" s="176">
        <f>USD!X51</f>
        <v>0.95</v>
      </c>
      <c r="Y50" s="176">
        <f>USD!Y51</f>
        <v>1</v>
      </c>
      <c r="Z50" s="176">
        <f>USD!Z51</f>
        <v>0.9</v>
      </c>
      <c r="AA50" s="176">
        <f>USD!AA51</f>
        <v>0.85</v>
      </c>
    </row>
    <row r="51" spans="15:27" ht="11.25">
      <c r="O51" s="87" t="str">
        <f>USD!O52</f>
        <v>Краснодарский край (не включая г. Краснодар и г. Сочи)</v>
      </c>
      <c r="P51" s="88">
        <f>USD!P52</f>
        <v>100</v>
      </c>
      <c r="Q51" s="88">
        <f>USD!Q52</f>
        <v>85</v>
      </c>
      <c r="R51" s="176">
        <f>USD!R52</f>
        <v>0.85</v>
      </c>
      <c r="S51" s="176">
        <f>USD!S52</f>
        <v>0.85</v>
      </c>
      <c r="T51" s="176">
        <f>USD!T52</f>
        <v>0.7</v>
      </c>
      <c r="U51" s="176">
        <f>USD!U52</f>
        <v>0.85</v>
      </c>
      <c r="V51" s="176">
        <f>USD!V52</f>
        <v>0.7</v>
      </c>
      <c r="W51" s="176">
        <f>USD!W52</f>
        <v>0.85</v>
      </c>
      <c r="X51" s="176">
        <f>USD!X52</f>
        <v>0.95</v>
      </c>
      <c r="Y51" s="176">
        <f>USD!Y52</f>
        <v>1</v>
      </c>
      <c r="Z51" s="176">
        <f>USD!Z52</f>
        <v>0.9</v>
      </c>
      <c r="AA51" s="176">
        <f>USD!AA52</f>
        <v>0.85</v>
      </c>
    </row>
    <row r="52" spans="15:27" ht="11.25">
      <c r="O52" s="87" t="str">
        <f>USD!O53</f>
        <v>г. Краснодар</v>
      </c>
      <c r="P52" s="88">
        <f>USD!P53</f>
        <v>100</v>
      </c>
      <c r="Q52" s="88">
        <f>USD!Q53</f>
        <v>85</v>
      </c>
      <c r="R52" s="176">
        <f>USD!R53</f>
        <v>0.9</v>
      </c>
      <c r="S52" s="176">
        <f>USD!S53</f>
        <v>0.85</v>
      </c>
      <c r="T52" s="176">
        <f>USD!T53</f>
        <v>0.7</v>
      </c>
      <c r="U52" s="176">
        <f>USD!U53</f>
        <v>0.85</v>
      </c>
      <c r="V52" s="176">
        <f>USD!V53</f>
        <v>0.7</v>
      </c>
      <c r="W52" s="176">
        <f>USD!W53</f>
        <v>0.9</v>
      </c>
      <c r="X52" s="176">
        <f>USD!X53</f>
        <v>0.95</v>
      </c>
      <c r="Y52" s="176">
        <f>USD!Y53</f>
        <v>1</v>
      </c>
      <c r="Z52" s="176">
        <f>USD!Z53</f>
        <v>0.9</v>
      </c>
      <c r="AA52" s="176">
        <f>USD!AA53</f>
        <v>0.85</v>
      </c>
    </row>
    <row r="53" spans="15:27" ht="11.25">
      <c r="O53" s="87" t="str">
        <f>USD!O54</f>
        <v>г. Сочи</v>
      </c>
      <c r="P53" s="88">
        <f>USD!P54</f>
        <v>100</v>
      </c>
      <c r="Q53" s="88">
        <f>USD!Q54</f>
        <v>85</v>
      </c>
      <c r="R53" s="176">
        <f>USD!R54</f>
        <v>0.9</v>
      </c>
      <c r="S53" s="176">
        <f>USD!S54</f>
        <v>0.85</v>
      </c>
      <c r="T53" s="176">
        <f>USD!T54</f>
        <v>0.7</v>
      </c>
      <c r="U53" s="176">
        <f>USD!U54</f>
        <v>0.85</v>
      </c>
      <c r="V53" s="176">
        <f>USD!V54</f>
        <v>0.7</v>
      </c>
      <c r="W53" s="176">
        <f>USD!W54</f>
        <v>0.9</v>
      </c>
      <c r="X53" s="176">
        <f>USD!X54</f>
        <v>0.95</v>
      </c>
      <c r="Y53" s="176">
        <f>USD!Y54</f>
        <v>1</v>
      </c>
      <c r="Z53" s="176">
        <f>USD!Z54</f>
        <v>0.9</v>
      </c>
      <c r="AA53" s="176">
        <f>USD!AA54</f>
        <v>0.85</v>
      </c>
    </row>
    <row r="54" spans="15:27" ht="11.25">
      <c r="O54" s="87" t="str">
        <f>USD!O55</f>
        <v>Красноярский край (не включая г. Красноярск)</v>
      </c>
      <c r="P54" s="88">
        <f>USD!P55</f>
        <v>100</v>
      </c>
      <c r="Q54" s="88">
        <f>USD!Q55</f>
        <v>85</v>
      </c>
      <c r="R54" s="176">
        <f>USD!R55</f>
        <v>0.85</v>
      </c>
      <c r="S54" s="176">
        <f>USD!S55</f>
        <v>0.85</v>
      </c>
      <c r="T54" s="176">
        <f>USD!T55</f>
        <v>0.7</v>
      </c>
      <c r="U54" s="176">
        <f>USD!U55</f>
        <v>0.85</v>
      </c>
      <c r="V54" s="176">
        <f>USD!V55</f>
        <v>0.7</v>
      </c>
      <c r="W54" s="176">
        <f>USD!W55</f>
        <v>0.85</v>
      </c>
      <c r="X54" s="176">
        <f>USD!X55</f>
        <v>0.95</v>
      </c>
      <c r="Y54" s="176">
        <f>USD!Y55</f>
        <v>1</v>
      </c>
      <c r="Z54" s="176">
        <f>USD!Z55</f>
        <v>0.9</v>
      </c>
      <c r="AA54" s="176">
        <f>USD!AA55</f>
        <v>0.85</v>
      </c>
    </row>
    <row r="55" spans="15:27" ht="11.25">
      <c r="O55" s="87" t="str">
        <f>USD!O56</f>
        <v>г. Красноярск</v>
      </c>
      <c r="P55" s="88">
        <f>USD!P56</f>
        <v>100</v>
      </c>
      <c r="Q55" s="88">
        <f>USD!Q56</f>
        <v>85</v>
      </c>
      <c r="R55" s="176">
        <f>USD!R56</f>
        <v>1</v>
      </c>
      <c r="S55" s="176">
        <f>USD!S56</f>
        <v>0.95</v>
      </c>
      <c r="T55" s="176">
        <f>USD!T56</f>
        <v>0.9</v>
      </c>
      <c r="U55" s="176">
        <f>USD!U56</f>
        <v>0.95</v>
      </c>
      <c r="V55" s="176">
        <f>USD!V56</f>
        <v>0.95</v>
      </c>
      <c r="W55" s="176">
        <f>USD!W56</f>
        <v>1</v>
      </c>
      <c r="X55" s="176">
        <f>USD!X56</f>
        <v>0.95</v>
      </c>
      <c r="Y55" s="176">
        <f>USD!Y56</f>
        <v>1</v>
      </c>
      <c r="Z55" s="176">
        <f>USD!Z56</f>
        <v>0.9</v>
      </c>
      <c r="AA55" s="176">
        <f>USD!AA56</f>
        <v>0.85</v>
      </c>
    </row>
    <row r="56" spans="15:27" ht="11.25">
      <c r="O56" s="87" t="str">
        <f>USD!O57</f>
        <v>Курская область (не включая г. Курск)</v>
      </c>
      <c r="P56" s="88">
        <f>USD!P57</f>
        <v>100</v>
      </c>
      <c r="Q56" s="88">
        <f>USD!Q57</f>
        <v>85</v>
      </c>
      <c r="R56" s="176">
        <f>USD!R57</f>
        <v>0.85</v>
      </c>
      <c r="S56" s="176">
        <f>USD!S57</f>
        <v>0.85</v>
      </c>
      <c r="T56" s="176">
        <f>USD!T57</f>
        <v>0.7</v>
      </c>
      <c r="U56" s="176">
        <f>USD!U57</f>
        <v>0.85</v>
      </c>
      <c r="V56" s="176">
        <f>USD!V57</f>
        <v>0.7</v>
      </c>
      <c r="W56" s="176">
        <f>USD!W57</f>
        <v>0.85</v>
      </c>
      <c r="X56" s="176">
        <f>USD!X57</f>
        <v>0.95</v>
      </c>
      <c r="Y56" s="176">
        <f>USD!Y57</f>
        <v>1</v>
      </c>
      <c r="Z56" s="176">
        <f>USD!Z57</f>
        <v>0.9</v>
      </c>
      <c r="AA56" s="176">
        <f>USD!AA57</f>
        <v>0.85</v>
      </c>
    </row>
    <row r="57" spans="15:27" ht="11.25">
      <c r="O57" s="87" t="str">
        <f>USD!O58</f>
        <v>г. Курск</v>
      </c>
      <c r="P57" s="88">
        <f>USD!P58</f>
        <v>100</v>
      </c>
      <c r="Q57" s="88">
        <f>USD!Q58</f>
        <v>85</v>
      </c>
      <c r="R57" s="176">
        <f>USD!R58</f>
        <v>0.9</v>
      </c>
      <c r="S57" s="176">
        <f>USD!S58</f>
        <v>0.85</v>
      </c>
      <c r="T57" s="176">
        <f>USD!T58</f>
        <v>0.7</v>
      </c>
      <c r="U57" s="176">
        <f>USD!U58</f>
        <v>0.85</v>
      </c>
      <c r="V57" s="176">
        <f>USD!V58</f>
        <v>0.7</v>
      </c>
      <c r="W57" s="176">
        <f>USD!W58</f>
        <v>0.9</v>
      </c>
      <c r="X57" s="176">
        <f>USD!X58</f>
        <v>0.95</v>
      </c>
      <c r="Y57" s="176">
        <f>USD!Y58</f>
        <v>1</v>
      </c>
      <c r="Z57" s="176">
        <f>USD!Z58</f>
        <v>0.9</v>
      </c>
      <c r="AA57" s="176">
        <f>USD!AA58</f>
        <v>0.85</v>
      </c>
    </row>
    <row r="58" spans="15:27" ht="11.25">
      <c r="O58" s="87" t="str">
        <f>USD!O59</f>
        <v>Ленинградская область (включая г. Санкт-Петербург)</v>
      </c>
      <c r="P58" s="88">
        <f>USD!P59</f>
        <v>120</v>
      </c>
      <c r="Q58" s="88">
        <f>USD!Q59</f>
        <v>100</v>
      </c>
      <c r="R58" s="176">
        <f>USD!R59</f>
        <v>1</v>
      </c>
      <c r="S58" s="176">
        <f>USD!S59</f>
        <v>0.95</v>
      </c>
      <c r="T58" s="176">
        <f>USD!T59</f>
        <v>0.9</v>
      </c>
      <c r="U58" s="176">
        <f>USD!U59</f>
        <v>0.95</v>
      </c>
      <c r="V58" s="176">
        <f>USD!V59</f>
        <v>0.95</v>
      </c>
      <c r="W58" s="176">
        <f>USD!W59</f>
        <v>1</v>
      </c>
      <c r="X58" s="176">
        <f>USD!X59</f>
        <v>0.95</v>
      </c>
      <c r="Y58" s="176">
        <f>USD!Y59</f>
        <v>1</v>
      </c>
      <c r="Z58" s="176">
        <f>USD!Z59</f>
        <v>0.9</v>
      </c>
      <c r="AA58" s="176">
        <f>USD!AA59</f>
        <v>0.85</v>
      </c>
    </row>
    <row r="59" spans="15:27" ht="11.25">
      <c r="O59" s="87" t="str">
        <f>USD!O60</f>
        <v>Липецкая область (не включая г. Липецк)</v>
      </c>
      <c r="P59" s="88">
        <f>USD!P60</f>
        <v>100</v>
      </c>
      <c r="Q59" s="88">
        <f>USD!Q60</f>
        <v>85</v>
      </c>
      <c r="R59" s="176">
        <f>USD!R60</f>
        <v>0.85</v>
      </c>
      <c r="S59" s="176">
        <f>USD!S60</f>
        <v>0.85</v>
      </c>
      <c r="T59" s="176">
        <f>USD!T60</f>
        <v>0.7</v>
      </c>
      <c r="U59" s="176">
        <f>USD!U60</f>
        <v>0.85</v>
      </c>
      <c r="V59" s="176">
        <f>USD!V60</f>
        <v>0.7</v>
      </c>
      <c r="W59" s="176">
        <f>USD!W60</f>
        <v>0.85</v>
      </c>
      <c r="X59" s="176">
        <f>USD!X60</f>
        <v>0.95</v>
      </c>
      <c r="Y59" s="176">
        <f>USD!Y60</f>
        <v>1</v>
      </c>
      <c r="Z59" s="176">
        <f>USD!Z60</f>
        <v>0.9</v>
      </c>
      <c r="AA59" s="176">
        <f>USD!AA60</f>
        <v>0.85</v>
      </c>
    </row>
    <row r="60" spans="15:27" ht="11.25">
      <c r="O60" s="87" t="str">
        <f>USD!O61</f>
        <v>г. Липецк</v>
      </c>
      <c r="P60" s="88">
        <f>USD!P61</f>
        <v>100</v>
      </c>
      <c r="Q60" s="88">
        <f>USD!Q61</f>
        <v>85</v>
      </c>
      <c r="R60" s="176">
        <f>USD!R61</f>
        <v>0.9</v>
      </c>
      <c r="S60" s="176">
        <f>USD!S61</f>
        <v>0.85</v>
      </c>
      <c r="T60" s="176">
        <f>USD!T61</f>
        <v>0.7</v>
      </c>
      <c r="U60" s="176">
        <f>USD!U61</f>
        <v>0.85</v>
      </c>
      <c r="V60" s="176">
        <f>USD!V61</f>
        <v>0.7</v>
      </c>
      <c r="W60" s="176">
        <f>USD!W61</f>
        <v>0.9</v>
      </c>
      <c r="X60" s="176">
        <f>USD!X61</f>
        <v>0.95</v>
      </c>
      <c r="Y60" s="176">
        <f>USD!Y61</f>
        <v>1</v>
      </c>
      <c r="Z60" s="176">
        <f>USD!Z61</f>
        <v>0.9</v>
      </c>
      <c r="AA60" s="176">
        <f>USD!AA61</f>
        <v>0.85</v>
      </c>
    </row>
    <row r="61" spans="15:27" ht="11.25">
      <c r="O61" s="87" t="str">
        <f>USD!O62</f>
        <v>Нижегородская область (не включая г. Нижний Новгород)</v>
      </c>
      <c r="P61" s="88">
        <f>USD!P62</f>
        <v>100</v>
      </c>
      <c r="Q61" s="88">
        <f>USD!Q62</f>
        <v>85</v>
      </c>
      <c r="R61" s="176">
        <f>USD!R62</f>
        <v>0.85</v>
      </c>
      <c r="S61" s="176">
        <f>USD!S62</f>
        <v>0.85</v>
      </c>
      <c r="T61" s="176">
        <f>USD!T62</f>
        <v>0.7</v>
      </c>
      <c r="U61" s="176">
        <f>USD!U62</f>
        <v>0.85</v>
      </c>
      <c r="V61" s="176">
        <f>USD!V62</f>
        <v>0.7</v>
      </c>
      <c r="W61" s="176">
        <f>USD!W62</f>
        <v>0.85</v>
      </c>
      <c r="X61" s="176">
        <f>USD!X62</f>
        <v>0.95</v>
      </c>
      <c r="Y61" s="176">
        <f>USD!Y62</f>
        <v>1</v>
      </c>
      <c r="Z61" s="176">
        <f>USD!Z62</f>
        <v>0.9</v>
      </c>
      <c r="AA61" s="176">
        <f>USD!AA62</f>
        <v>0.85</v>
      </c>
    </row>
    <row r="62" spans="15:27" ht="11.25">
      <c r="O62" s="87" t="str">
        <f>USD!O63</f>
        <v>г. Нижний Новгород</v>
      </c>
      <c r="P62" s="88">
        <f>USD!P63</f>
        <v>100</v>
      </c>
      <c r="Q62" s="88">
        <f>USD!Q63</f>
        <v>85</v>
      </c>
      <c r="R62" s="176">
        <f>USD!R63</f>
        <v>1</v>
      </c>
      <c r="S62" s="176">
        <f>USD!S63</f>
        <v>0.95</v>
      </c>
      <c r="T62" s="176">
        <f>USD!T63</f>
        <v>0.9</v>
      </c>
      <c r="U62" s="176">
        <f>USD!U63</f>
        <v>0.95</v>
      </c>
      <c r="V62" s="176">
        <f>USD!V63</f>
        <v>0.95</v>
      </c>
      <c r="W62" s="176">
        <f>USD!W63</f>
        <v>1</v>
      </c>
      <c r="X62" s="176">
        <f>USD!X63</f>
        <v>0.95</v>
      </c>
      <c r="Y62" s="176">
        <f>USD!Y63</f>
        <v>1</v>
      </c>
      <c r="Z62" s="176">
        <f>USD!Z63</f>
        <v>0.9</v>
      </c>
      <c r="AA62" s="176">
        <f>USD!AA63</f>
        <v>0.85</v>
      </c>
    </row>
    <row r="63" spans="15:27" ht="11.25">
      <c r="O63" s="87" t="str">
        <f>USD!O64</f>
        <v>Новосибирская область (не включая г. Новосибирск)</v>
      </c>
      <c r="P63" s="88">
        <f>USD!P64</f>
        <v>100</v>
      </c>
      <c r="Q63" s="88">
        <f>USD!Q64</f>
        <v>85</v>
      </c>
      <c r="R63" s="176">
        <f>USD!R64</f>
        <v>0.85</v>
      </c>
      <c r="S63" s="176">
        <f>USD!S64</f>
        <v>0.85</v>
      </c>
      <c r="T63" s="176">
        <f>USD!T64</f>
        <v>0.7</v>
      </c>
      <c r="U63" s="176">
        <f>USD!U64</f>
        <v>0.85</v>
      </c>
      <c r="V63" s="176">
        <f>USD!V64</f>
        <v>0.7</v>
      </c>
      <c r="W63" s="176">
        <f>USD!W64</f>
        <v>0.85</v>
      </c>
      <c r="X63" s="176">
        <f>USD!X64</f>
        <v>0.95</v>
      </c>
      <c r="Y63" s="176">
        <f>USD!Y64</f>
        <v>1</v>
      </c>
      <c r="Z63" s="176">
        <f>USD!Z64</f>
        <v>0.9</v>
      </c>
      <c r="AA63" s="176">
        <f>USD!AA64</f>
        <v>0.85</v>
      </c>
    </row>
    <row r="64" spans="15:27" ht="11.25">
      <c r="O64" s="87" t="str">
        <f>USD!O65</f>
        <v>г. Новосибирск</v>
      </c>
      <c r="P64" s="88">
        <f>USD!P65</f>
        <v>100</v>
      </c>
      <c r="Q64" s="88">
        <f>USD!Q65</f>
        <v>85</v>
      </c>
      <c r="R64" s="176">
        <f>USD!R65</f>
        <v>1</v>
      </c>
      <c r="S64" s="176">
        <f>USD!S65</f>
        <v>0.95</v>
      </c>
      <c r="T64" s="176">
        <f>USD!T65</f>
        <v>0.9</v>
      </c>
      <c r="U64" s="176">
        <f>USD!U65</f>
        <v>0.95</v>
      </c>
      <c r="V64" s="176">
        <f>USD!V65</f>
        <v>0.95</v>
      </c>
      <c r="W64" s="176">
        <f>USD!W65</f>
        <v>1</v>
      </c>
      <c r="X64" s="176">
        <f>USD!X65</f>
        <v>0.95</v>
      </c>
      <c r="Y64" s="176">
        <f>USD!Y65</f>
        <v>1</v>
      </c>
      <c r="Z64" s="176">
        <f>USD!Z65</f>
        <v>0.9</v>
      </c>
      <c r="AA64" s="176">
        <f>USD!AA65</f>
        <v>0.85</v>
      </c>
    </row>
    <row r="65" spans="15:27" ht="11.25">
      <c r="O65" s="87" t="str">
        <f>USD!O66</f>
        <v>Омская область (не включая г. Омск)</v>
      </c>
      <c r="P65" s="88">
        <f>USD!P66</f>
        <v>100</v>
      </c>
      <c r="Q65" s="88">
        <f>USD!Q66</f>
        <v>85</v>
      </c>
      <c r="R65" s="176">
        <f>USD!R66</f>
        <v>0.85</v>
      </c>
      <c r="S65" s="176">
        <f>USD!S66</f>
        <v>0.85</v>
      </c>
      <c r="T65" s="176">
        <f>USD!T66</f>
        <v>0.7</v>
      </c>
      <c r="U65" s="176">
        <f>USD!U66</f>
        <v>0.85</v>
      </c>
      <c r="V65" s="176">
        <f>USD!V66</f>
        <v>0.7</v>
      </c>
      <c r="W65" s="176">
        <f>USD!W66</f>
        <v>0.85</v>
      </c>
      <c r="X65" s="176">
        <f>USD!X66</f>
        <v>0.95</v>
      </c>
      <c r="Y65" s="176">
        <f>USD!Y66</f>
        <v>1</v>
      </c>
      <c r="Z65" s="176">
        <f>USD!Z66</f>
        <v>0.9</v>
      </c>
      <c r="AA65" s="176">
        <f>USD!AA66</f>
        <v>0.85</v>
      </c>
    </row>
    <row r="66" spans="15:27" ht="11.25">
      <c r="O66" s="87" t="str">
        <f>USD!O67</f>
        <v>г. Омск</v>
      </c>
      <c r="P66" s="88">
        <f>USD!P67</f>
        <v>100</v>
      </c>
      <c r="Q66" s="88">
        <f>USD!Q67</f>
        <v>85</v>
      </c>
      <c r="R66" s="176">
        <f>USD!R67</f>
        <v>0.9</v>
      </c>
      <c r="S66" s="176">
        <f>USD!S67</f>
        <v>0.85</v>
      </c>
      <c r="T66" s="176">
        <f>USD!T67</f>
        <v>0.7</v>
      </c>
      <c r="U66" s="176">
        <f>USD!U67</f>
        <v>0.85</v>
      </c>
      <c r="V66" s="176">
        <f>USD!V67</f>
        <v>0.7</v>
      </c>
      <c r="W66" s="176">
        <f>USD!W67</f>
        <v>0.9</v>
      </c>
      <c r="X66" s="176">
        <f>USD!X67</f>
        <v>0.95</v>
      </c>
      <c r="Y66" s="176">
        <f>USD!Y67</f>
        <v>1</v>
      </c>
      <c r="Z66" s="176">
        <f>USD!Z67</f>
        <v>0.9</v>
      </c>
      <c r="AA66" s="176">
        <f>USD!AA67</f>
        <v>0.85</v>
      </c>
    </row>
    <row r="67" spans="15:27" ht="11.25">
      <c r="O67" s="87" t="str">
        <f>USD!O68</f>
        <v>Пермский край (не включая г. Пермь)</v>
      </c>
      <c r="P67" s="88">
        <f>USD!P68</f>
        <v>100</v>
      </c>
      <c r="Q67" s="88">
        <f>USD!Q68</f>
        <v>85</v>
      </c>
      <c r="R67" s="176">
        <f>USD!R68</f>
        <v>0.85</v>
      </c>
      <c r="S67" s="176">
        <f>USD!S68</f>
        <v>0.85</v>
      </c>
      <c r="T67" s="176">
        <f>USD!T68</f>
        <v>0.7</v>
      </c>
      <c r="U67" s="176">
        <f>USD!U68</f>
        <v>0.85</v>
      </c>
      <c r="V67" s="176">
        <f>USD!V68</f>
        <v>0.7</v>
      </c>
      <c r="W67" s="176">
        <f>USD!W68</f>
        <v>0.85</v>
      </c>
      <c r="X67" s="176">
        <f>USD!X68</f>
        <v>0.95</v>
      </c>
      <c r="Y67" s="176">
        <f>USD!Y68</f>
        <v>1</v>
      </c>
      <c r="Z67" s="176">
        <f>USD!Z68</f>
        <v>0.9</v>
      </c>
      <c r="AA67" s="176">
        <f>USD!AA68</f>
        <v>0.85</v>
      </c>
    </row>
    <row r="68" spans="15:27" ht="11.25">
      <c r="O68" s="87" t="str">
        <f>USD!O69</f>
        <v>г. Пермь</v>
      </c>
      <c r="P68" s="88">
        <f>USD!P69</f>
        <v>100</v>
      </c>
      <c r="Q68" s="88">
        <f>USD!Q69</f>
        <v>85</v>
      </c>
      <c r="R68" s="176">
        <f>USD!R69</f>
        <v>0.9</v>
      </c>
      <c r="S68" s="176">
        <f>USD!S69</f>
        <v>0.85</v>
      </c>
      <c r="T68" s="176">
        <f>USD!T69</f>
        <v>0.7</v>
      </c>
      <c r="U68" s="176">
        <f>USD!U69</f>
        <v>0.85</v>
      </c>
      <c r="V68" s="176">
        <f>USD!V69</f>
        <v>0.7</v>
      </c>
      <c r="W68" s="176">
        <f>USD!W69</f>
        <v>0.9</v>
      </c>
      <c r="X68" s="176">
        <f>USD!X69</f>
        <v>0.95</v>
      </c>
      <c r="Y68" s="176">
        <f>USD!Y69</f>
        <v>1</v>
      </c>
      <c r="Z68" s="176">
        <f>USD!Z69</f>
        <v>0.9</v>
      </c>
      <c r="AA68" s="176">
        <f>USD!AA69</f>
        <v>0.85</v>
      </c>
    </row>
    <row r="69" spans="15:27" ht="11.25">
      <c r="O69" s="87" t="str">
        <f>USD!O70</f>
        <v>Приморский край (включая г. Владивосток)</v>
      </c>
      <c r="P69" s="88">
        <f>USD!P70</f>
        <v>120</v>
      </c>
      <c r="Q69" s="88">
        <f>USD!Q70</f>
        <v>100</v>
      </c>
      <c r="R69" s="176">
        <f>USD!R70</f>
        <v>0.85</v>
      </c>
      <c r="S69" s="176">
        <f>USD!S70</f>
        <v>0.85</v>
      </c>
      <c r="T69" s="176">
        <f>USD!T70</f>
        <v>0.7</v>
      </c>
      <c r="U69" s="176">
        <f>USD!U70</f>
        <v>0.85</v>
      </c>
      <c r="V69" s="176">
        <f>USD!V70</f>
        <v>0.7</v>
      </c>
      <c r="W69" s="176">
        <f>USD!W70</f>
        <v>0.85</v>
      </c>
      <c r="X69" s="176">
        <f>USD!X70</f>
        <v>0.95</v>
      </c>
      <c r="Y69" s="176">
        <f>USD!Y70</f>
        <v>1</v>
      </c>
      <c r="Z69" s="176">
        <f>USD!Z70</f>
        <v>0.9</v>
      </c>
      <c r="AA69" s="176">
        <f>USD!AA70</f>
        <v>0.85</v>
      </c>
    </row>
    <row r="70" spans="15:27" ht="11.25">
      <c r="O70" s="87" t="str">
        <f>USD!O71</f>
        <v>Республика Коми (не включая г. Сыктывкар)</v>
      </c>
      <c r="P70" s="88">
        <f>USD!P71</f>
        <v>100</v>
      </c>
      <c r="Q70" s="88">
        <f>USD!Q71</f>
        <v>85</v>
      </c>
      <c r="R70" s="176">
        <f>USD!R71</f>
        <v>0.85</v>
      </c>
      <c r="S70" s="176">
        <f>USD!S71</f>
        <v>0.85</v>
      </c>
      <c r="T70" s="176">
        <f>USD!T71</f>
        <v>0.7</v>
      </c>
      <c r="U70" s="176">
        <f>USD!U71</f>
        <v>0.85</v>
      </c>
      <c r="V70" s="176">
        <f>USD!V71</f>
        <v>0.7</v>
      </c>
      <c r="W70" s="176">
        <f>USD!W71</f>
        <v>0.85</v>
      </c>
      <c r="X70" s="176">
        <f>USD!X71</f>
        <v>0.95</v>
      </c>
      <c r="Y70" s="176">
        <f>USD!Y71</f>
        <v>1</v>
      </c>
      <c r="Z70" s="176">
        <f>USD!Z71</f>
        <v>0.9</v>
      </c>
      <c r="AA70" s="176">
        <f>USD!AA71</f>
        <v>0.85</v>
      </c>
    </row>
    <row r="71" spans="15:27" ht="11.25">
      <c r="O71" s="87" t="str">
        <f>USD!O72</f>
        <v>г. Сыктывкар</v>
      </c>
      <c r="P71" s="88">
        <f>USD!P72</f>
        <v>100</v>
      </c>
      <c r="Q71" s="88">
        <f>USD!Q72</f>
        <v>85</v>
      </c>
      <c r="R71" s="176">
        <f>USD!R72</f>
        <v>0.9</v>
      </c>
      <c r="S71" s="176">
        <f>USD!S72</f>
        <v>0.85</v>
      </c>
      <c r="T71" s="176">
        <f>USD!T72</f>
        <v>0.7</v>
      </c>
      <c r="U71" s="176">
        <f>USD!U72</f>
        <v>0.85</v>
      </c>
      <c r="V71" s="176">
        <f>USD!V72</f>
        <v>0.7</v>
      </c>
      <c r="W71" s="176">
        <f>USD!W72</f>
        <v>0.9</v>
      </c>
      <c r="X71" s="176">
        <f>USD!X72</f>
        <v>0.95</v>
      </c>
      <c r="Y71" s="176">
        <f>USD!Y72</f>
        <v>1</v>
      </c>
      <c r="Z71" s="176">
        <f>USD!Z72</f>
        <v>0.9</v>
      </c>
      <c r="AA71" s="176">
        <f>USD!AA72</f>
        <v>0.85</v>
      </c>
    </row>
    <row r="72" spans="15:27" ht="11.25">
      <c r="O72" s="87" t="str">
        <f>USD!O73</f>
        <v>Республика Марий Эл (не включая г. Йошкар-Олу)</v>
      </c>
      <c r="P72" s="88">
        <f>USD!P73</f>
        <v>100</v>
      </c>
      <c r="Q72" s="88">
        <f>USD!Q73</f>
        <v>85</v>
      </c>
      <c r="R72" s="176">
        <f>USD!R73</f>
        <v>0.85</v>
      </c>
      <c r="S72" s="176">
        <f>USD!S73</f>
        <v>0.85</v>
      </c>
      <c r="T72" s="176">
        <f>USD!T73</f>
        <v>0.7</v>
      </c>
      <c r="U72" s="176">
        <f>USD!U73</f>
        <v>0.85</v>
      </c>
      <c r="V72" s="176">
        <f>USD!V73</f>
        <v>0.7</v>
      </c>
      <c r="W72" s="176">
        <f>USD!W73</f>
        <v>0.85</v>
      </c>
      <c r="X72" s="176">
        <f>USD!X73</f>
        <v>0.95</v>
      </c>
      <c r="Y72" s="176">
        <f>USD!Y73</f>
        <v>1</v>
      </c>
      <c r="Z72" s="176">
        <f>USD!Z73</f>
        <v>0.9</v>
      </c>
      <c r="AA72" s="176">
        <f>USD!AA73</f>
        <v>0.85</v>
      </c>
    </row>
    <row r="73" spans="15:27" ht="11.25">
      <c r="O73" s="87" t="str">
        <f>USD!O74</f>
        <v>г. Йошкар-Ола</v>
      </c>
      <c r="P73" s="88">
        <f>USD!P74</f>
        <v>100</v>
      </c>
      <c r="Q73" s="88">
        <f>USD!Q74</f>
        <v>85</v>
      </c>
      <c r="R73" s="176">
        <f>USD!R74</f>
        <v>0.9</v>
      </c>
      <c r="S73" s="176">
        <f>USD!S74</f>
        <v>0.85</v>
      </c>
      <c r="T73" s="176">
        <f>USD!T74</f>
        <v>0.7</v>
      </c>
      <c r="U73" s="176">
        <f>USD!U74</f>
        <v>0.85</v>
      </c>
      <c r="V73" s="176">
        <f>USD!V74</f>
        <v>0.7</v>
      </c>
      <c r="W73" s="176">
        <f>USD!W74</f>
        <v>0.9</v>
      </c>
      <c r="X73" s="176">
        <f>USD!X74</f>
        <v>0.95</v>
      </c>
      <c r="Y73" s="176">
        <f>USD!Y74</f>
        <v>1</v>
      </c>
      <c r="Z73" s="176">
        <f>USD!Z74</f>
        <v>0.9</v>
      </c>
      <c r="AA73" s="176">
        <f>USD!AA74</f>
        <v>0.85</v>
      </c>
    </row>
    <row r="74" spans="15:27" ht="11.25">
      <c r="O74" s="87" t="str">
        <f>USD!O75</f>
        <v>Республика Саха (Якутия) (не включая г. Якутск)</v>
      </c>
      <c r="P74" s="88">
        <f>USD!P75</f>
        <v>120</v>
      </c>
      <c r="Q74" s="88">
        <f>USD!Q75</f>
        <v>100</v>
      </c>
      <c r="R74" s="176">
        <f>USD!R75</f>
        <v>0.85</v>
      </c>
      <c r="S74" s="176">
        <f>USD!S75</f>
        <v>0.85</v>
      </c>
      <c r="T74" s="176">
        <f>USD!T75</f>
        <v>0.7</v>
      </c>
      <c r="U74" s="176">
        <f>USD!U75</f>
        <v>0.85</v>
      </c>
      <c r="V74" s="176">
        <f>USD!V75</f>
        <v>0.7</v>
      </c>
      <c r="W74" s="176">
        <f>USD!W75</f>
        <v>0.85</v>
      </c>
      <c r="X74" s="176">
        <f>USD!X75</f>
        <v>0.95</v>
      </c>
      <c r="Y74" s="176">
        <f>USD!Y75</f>
        <v>1</v>
      </c>
      <c r="Z74" s="176">
        <f>USD!Z75</f>
        <v>0.9</v>
      </c>
      <c r="AA74" s="176">
        <f>USD!AA75</f>
        <v>0.85</v>
      </c>
    </row>
    <row r="75" spans="15:27" ht="11.25">
      <c r="O75" s="87" t="str">
        <f>USD!O76</f>
        <v>г. Якутск</v>
      </c>
      <c r="P75" s="88">
        <f>USD!P76</f>
        <v>120</v>
      </c>
      <c r="Q75" s="88">
        <f>USD!Q76</f>
        <v>100</v>
      </c>
      <c r="R75" s="176">
        <f>USD!R76</f>
        <v>0.9</v>
      </c>
      <c r="S75" s="176">
        <f>USD!S76</f>
        <v>0.85</v>
      </c>
      <c r="T75" s="176">
        <f>USD!T76</f>
        <v>0.7</v>
      </c>
      <c r="U75" s="176">
        <f>USD!U76</f>
        <v>0.85</v>
      </c>
      <c r="V75" s="176">
        <f>USD!V76</f>
        <v>0.7</v>
      </c>
      <c r="W75" s="176">
        <f>USD!W76</f>
        <v>0.9</v>
      </c>
      <c r="X75" s="176">
        <f>USD!X76</f>
        <v>0.95</v>
      </c>
      <c r="Y75" s="176">
        <f>USD!Y76</f>
        <v>1</v>
      </c>
      <c r="Z75" s="176">
        <f>USD!Z76</f>
        <v>0.9</v>
      </c>
      <c r="AA75" s="176">
        <f>USD!AA76</f>
        <v>0.85</v>
      </c>
    </row>
    <row r="76" spans="15:27" ht="11.25">
      <c r="O76" s="87" t="str">
        <f>USD!O77</f>
        <v>Республика Татарстан (не включая г. Казань)</v>
      </c>
      <c r="P76" s="88">
        <f>USD!P77</f>
        <v>100</v>
      </c>
      <c r="Q76" s="88">
        <f>USD!Q77</f>
        <v>85</v>
      </c>
      <c r="R76" s="176">
        <f>USD!R77</f>
        <v>0.85</v>
      </c>
      <c r="S76" s="176">
        <f>USD!S77</f>
        <v>0.85</v>
      </c>
      <c r="T76" s="176">
        <f>USD!T77</f>
        <v>0.7</v>
      </c>
      <c r="U76" s="176">
        <f>USD!U77</f>
        <v>0.85</v>
      </c>
      <c r="V76" s="176">
        <f>USD!V77</f>
        <v>0.7</v>
      </c>
      <c r="W76" s="176">
        <f>USD!W77</f>
        <v>0.85</v>
      </c>
      <c r="X76" s="176">
        <f>USD!X77</f>
        <v>0.95</v>
      </c>
      <c r="Y76" s="176">
        <f>USD!Y77</f>
        <v>1</v>
      </c>
      <c r="Z76" s="176">
        <f>USD!Z77</f>
        <v>0.9</v>
      </c>
      <c r="AA76" s="176">
        <f>USD!AA77</f>
        <v>0.85</v>
      </c>
    </row>
    <row r="77" spans="15:27" ht="11.25">
      <c r="O77" s="87" t="str">
        <f>USD!O78</f>
        <v>г. Казань</v>
      </c>
      <c r="P77" s="88">
        <f>USD!P78</f>
        <v>100</v>
      </c>
      <c r="Q77" s="88">
        <f>USD!Q78</f>
        <v>85</v>
      </c>
      <c r="R77" s="176">
        <f>USD!R78</f>
        <v>1</v>
      </c>
      <c r="S77" s="176">
        <f>USD!S78</f>
        <v>0.95</v>
      </c>
      <c r="T77" s="176">
        <f>USD!T78</f>
        <v>0.9</v>
      </c>
      <c r="U77" s="176">
        <f>USD!U78</f>
        <v>0.95</v>
      </c>
      <c r="V77" s="176">
        <f>USD!V78</f>
        <v>0.95</v>
      </c>
      <c r="W77" s="176">
        <f>USD!W78</f>
        <v>1</v>
      </c>
      <c r="X77" s="176">
        <f>USD!X78</f>
        <v>0.95</v>
      </c>
      <c r="Y77" s="176">
        <f>USD!Y78</f>
        <v>1</v>
      </c>
      <c r="Z77" s="176">
        <f>USD!Z78</f>
        <v>0.9</v>
      </c>
      <c r="AA77" s="176">
        <f>USD!AA78</f>
        <v>0.85</v>
      </c>
    </row>
    <row r="78" spans="15:27" ht="11.25">
      <c r="O78" s="87" t="str">
        <f>USD!O79</f>
        <v>Ростовская область (не включая г. Ростов-на-Дону)</v>
      </c>
      <c r="P78" s="88">
        <f>USD!P79</f>
        <v>100</v>
      </c>
      <c r="Q78" s="88">
        <f>USD!Q79</f>
        <v>85</v>
      </c>
      <c r="R78" s="176">
        <f>USD!R79</f>
        <v>0.85</v>
      </c>
      <c r="S78" s="176">
        <f>USD!S79</f>
        <v>0.85</v>
      </c>
      <c r="T78" s="176">
        <f>USD!T79</f>
        <v>0.7</v>
      </c>
      <c r="U78" s="176">
        <f>USD!U79</f>
        <v>0.85</v>
      </c>
      <c r="V78" s="176">
        <f>USD!V79</f>
        <v>0.7</v>
      </c>
      <c r="W78" s="176">
        <f>USD!W79</f>
        <v>0.85</v>
      </c>
      <c r="X78" s="176">
        <f>USD!X79</f>
        <v>0.95</v>
      </c>
      <c r="Y78" s="176">
        <f>USD!Y79</f>
        <v>1</v>
      </c>
      <c r="Z78" s="176">
        <f>USD!Z79</f>
        <v>0.9</v>
      </c>
      <c r="AA78" s="176">
        <f>USD!AA79</f>
        <v>0.85</v>
      </c>
    </row>
    <row r="79" spans="15:27" ht="11.25">
      <c r="O79" s="87" t="str">
        <f>USD!O80</f>
        <v>г. Ростов-на-Дону</v>
      </c>
      <c r="P79" s="88">
        <f>USD!P80</f>
        <v>100</v>
      </c>
      <c r="Q79" s="88">
        <f>USD!Q80</f>
        <v>85</v>
      </c>
      <c r="R79" s="176">
        <f>USD!R80</f>
        <v>0.95</v>
      </c>
      <c r="S79" s="176">
        <f>USD!S80</f>
        <v>0.95</v>
      </c>
      <c r="T79" s="176">
        <f>USD!T80</f>
        <v>0.9</v>
      </c>
      <c r="U79" s="176">
        <f>USD!U80</f>
        <v>0.95</v>
      </c>
      <c r="V79" s="176">
        <f>USD!V80</f>
        <v>0.95</v>
      </c>
      <c r="W79" s="176">
        <f>USD!W80</f>
        <v>0.95</v>
      </c>
      <c r="X79" s="176">
        <f>USD!X80</f>
        <v>0.95</v>
      </c>
      <c r="Y79" s="176">
        <f>USD!Y80</f>
        <v>1</v>
      </c>
      <c r="Z79" s="176">
        <f>USD!Z80</f>
        <v>0.9</v>
      </c>
      <c r="AA79" s="176">
        <f>USD!AA80</f>
        <v>0.85</v>
      </c>
    </row>
    <row r="80" spans="15:27" ht="11.25">
      <c r="O80" s="87" t="str">
        <f>USD!O81</f>
        <v>Самарская область (не включая г. Самара и г. Тольятти)</v>
      </c>
      <c r="P80" s="88">
        <f>USD!P81</f>
        <v>100</v>
      </c>
      <c r="Q80" s="88">
        <f>USD!Q81</f>
        <v>85</v>
      </c>
      <c r="R80" s="176">
        <f>USD!R81</f>
        <v>0.85</v>
      </c>
      <c r="S80" s="176">
        <f>USD!S81</f>
        <v>0.85</v>
      </c>
      <c r="T80" s="176">
        <f>USD!T81</f>
        <v>0.7</v>
      </c>
      <c r="U80" s="176">
        <f>USD!U81</f>
        <v>0.85</v>
      </c>
      <c r="V80" s="176">
        <f>USD!V81</f>
        <v>0.7</v>
      </c>
      <c r="W80" s="176">
        <f>USD!W81</f>
        <v>0.85</v>
      </c>
      <c r="X80" s="176">
        <f>USD!X81</f>
        <v>0.95</v>
      </c>
      <c r="Y80" s="176">
        <f>USD!Y81</f>
        <v>1</v>
      </c>
      <c r="Z80" s="176">
        <f>USD!Z81</f>
        <v>0.9</v>
      </c>
      <c r="AA80" s="176">
        <f>USD!AA81</f>
        <v>0.85</v>
      </c>
    </row>
    <row r="81" spans="15:27" ht="11.25">
      <c r="O81" s="87" t="str">
        <f>USD!O82</f>
        <v>г. Самара</v>
      </c>
      <c r="P81" s="88">
        <f>USD!P82</f>
        <v>100</v>
      </c>
      <c r="Q81" s="88">
        <f>USD!Q82</f>
        <v>85</v>
      </c>
      <c r="R81" s="176">
        <f>USD!R82</f>
        <v>1</v>
      </c>
      <c r="S81" s="176">
        <f>USD!S82</f>
        <v>0.95</v>
      </c>
      <c r="T81" s="176">
        <f>USD!T82</f>
        <v>0.9</v>
      </c>
      <c r="U81" s="176">
        <f>USD!U82</f>
        <v>0.95</v>
      </c>
      <c r="V81" s="176">
        <f>USD!V82</f>
        <v>0.95</v>
      </c>
      <c r="W81" s="176">
        <f>USD!W82</f>
        <v>1</v>
      </c>
      <c r="X81" s="176">
        <f>USD!X82</f>
        <v>0.95</v>
      </c>
      <c r="Y81" s="176">
        <f>USD!Y82</f>
        <v>1</v>
      </c>
      <c r="Z81" s="176">
        <f>USD!Z82</f>
        <v>0.9</v>
      </c>
      <c r="AA81" s="176">
        <f>USD!AA82</f>
        <v>0.85</v>
      </c>
    </row>
    <row r="82" spans="15:27" ht="11.25">
      <c r="O82" s="87" t="str">
        <f>USD!O83</f>
        <v>г. Тольятти</v>
      </c>
      <c r="P82" s="88">
        <f>USD!P83</f>
        <v>100</v>
      </c>
      <c r="Q82" s="88">
        <f>USD!Q83</f>
        <v>85</v>
      </c>
      <c r="R82" s="176">
        <f>USD!R83</f>
        <v>0.9</v>
      </c>
      <c r="S82" s="176">
        <f>USD!S83</f>
        <v>0.85</v>
      </c>
      <c r="T82" s="176">
        <f>USD!T83</f>
        <v>0.7</v>
      </c>
      <c r="U82" s="176">
        <f>USD!U83</f>
        <v>0.85</v>
      </c>
      <c r="V82" s="176">
        <f>USD!V83</f>
        <v>0.7</v>
      </c>
      <c r="W82" s="176">
        <f>USD!W83</f>
        <v>0.9</v>
      </c>
      <c r="X82" s="176">
        <f>USD!X83</f>
        <v>0.95</v>
      </c>
      <c r="Y82" s="176">
        <f>USD!Y83</f>
        <v>1</v>
      </c>
      <c r="Z82" s="176">
        <f>USD!Z83</f>
        <v>0.9</v>
      </c>
      <c r="AA82" s="176">
        <f>USD!AA83</f>
        <v>0.85</v>
      </c>
    </row>
    <row r="83" spans="15:27" ht="11.25">
      <c r="O83" s="87" t="str">
        <f>USD!O84</f>
        <v>Саратовская область (включая г. Саратов)</v>
      </c>
      <c r="P83" s="88">
        <f>USD!P84</f>
        <v>100</v>
      </c>
      <c r="Q83" s="88">
        <f>USD!Q84</f>
        <v>85</v>
      </c>
      <c r="R83" s="176">
        <f>USD!R84</f>
        <v>0.85</v>
      </c>
      <c r="S83" s="176">
        <f>USD!S84</f>
        <v>0.85</v>
      </c>
      <c r="T83" s="176">
        <f>USD!T84</f>
        <v>0.7</v>
      </c>
      <c r="U83" s="176">
        <f>USD!U84</f>
        <v>0.85</v>
      </c>
      <c r="V83" s="176">
        <f>USD!V84</f>
        <v>0.7</v>
      </c>
      <c r="W83" s="176">
        <f>USD!W84</f>
        <v>0.85</v>
      </c>
      <c r="X83" s="176">
        <f>USD!X84</f>
        <v>0.95</v>
      </c>
      <c r="Y83" s="176">
        <f>USD!Y84</f>
        <v>1</v>
      </c>
      <c r="Z83" s="176">
        <f>USD!Z84</f>
        <v>0.9</v>
      </c>
      <c r="AA83" s="176">
        <f>USD!AA84</f>
        <v>0.85</v>
      </c>
    </row>
    <row r="84" spans="15:27" ht="11.25">
      <c r="O84" s="87" t="str">
        <f>USD!O85</f>
        <v>Свердловская область (не включая г. Екатеринбург)</v>
      </c>
      <c r="P84" s="88">
        <f>USD!P85</f>
        <v>100</v>
      </c>
      <c r="Q84" s="88">
        <f>USD!Q85</f>
        <v>85</v>
      </c>
      <c r="R84" s="176">
        <f>USD!R85</f>
        <v>0.85</v>
      </c>
      <c r="S84" s="176">
        <f>USD!S85</f>
        <v>0.85</v>
      </c>
      <c r="T84" s="176">
        <f>USD!T85</f>
        <v>0.7</v>
      </c>
      <c r="U84" s="176">
        <f>USD!U85</f>
        <v>0.85</v>
      </c>
      <c r="V84" s="176">
        <f>USD!V85</f>
        <v>0.7</v>
      </c>
      <c r="W84" s="176">
        <f>USD!W85</f>
        <v>0.85</v>
      </c>
      <c r="X84" s="176">
        <f>USD!X85</f>
        <v>0.95</v>
      </c>
      <c r="Y84" s="176">
        <f>USD!Y85</f>
        <v>1</v>
      </c>
      <c r="Z84" s="176">
        <f>USD!Z85</f>
        <v>0.9</v>
      </c>
      <c r="AA84" s="176">
        <f>USD!AA85</f>
        <v>0.85</v>
      </c>
    </row>
    <row r="85" spans="15:27" ht="11.25">
      <c r="O85" s="87" t="str">
        <f>USD!O86</f>
        <v>г. Екатеринбург</v>
      </c>
      <c r="P85" s="88">
        <f>USD!P86</f>
        <v>100</v>
      </c>
      <c r="Q85" s="88">
        <f>USD!Q86</f>
        <v>85</v>
      </c>
      <c r="R85" s="176">
        <f>USD!R86</f>
        <v>1</v>
      </c>
      <c r="S85" s="176">
        <f>USD!S86</f>
        <v>0.95</v>
      </c>
      <c r="T85" s="176">
        <f>USD!T86</f>
        <v>0.9</v>
      </c>
      <c r="U85" s="176">
        <f>USD!U86</f>
        <v>0.95</v>
      </c>
      <c r="V85" s="176">
        <f>USD!V86</f>
        <v>0.95</v>
      </c>
      <c r="W85" s="176">
        <f>USD!W86</f>
        <v>1</v>
      </c>
      <c r="X85" s="176">
        <f>USD!X86</f>
        <v>0.95</v>
      </c>
      <c r="Y85" s="176">
        <f>USD!Y86</f>
        <v>1</v>
      </c>
      <c r="Z85" s="176">
        <f>USD!Z86</f>
        <v>0.9</v>
      </c>
      <c r="AA85" s="176">
        <f>USD!AA86</f>
        <v>0.85</v>
      </c>
    </row>
    <row r="86" spans="15:27" ht="11.25">
      <c r="O86" s="87" t="str">
        <f>USD!O87</f>
        <v>Смоленская область (не включая г. Смоленск)</v>
      </c>
      <c r="P86" s="88">
        <f>USD!P87</f>
        <v>100</v>
      </c>
      <c r="Q86" s="88">
        <f>USD!Q87</f>
        <v>85</v>
      </c>
      <c r="R86" s="176">
        <f>USD!R87</f>
        <v>0.85</v>
      </c>
      <c r="S86" s="176">
        <f>USD!S87</f>
        <v>0.85</v>
      </c>
      <c r="T86" s="176">
        <f>USD!T87</f>
        <v>0.7</v>
      </c>
      <c r="U86" s="176">
        <f>USD!U87</f>
        <v>0.85</v>
      </c>
      <c r="V86" s="176">
        <f>USD!V87</f>
        <v>0.7</v>
      </c>
      <c r="W86" s="176">
        <f>USD!W87</f>
        <v>0.85</v>
      </c>
      <c r="X86" s="176">
        <f>USD!X87</f>
        <v>0.95</v>
      </c>
      <c r="Y86" s="176">
        <f>USD!Y87</f>
        <v>1</v>
      </c>
      <c r="Z86" s="176">
        <f>USD!Z87</f>
        <v>0.9</v>
      </c>
      <c r="AA86" s="176">
        <f>USD!AA87</f>
        <v>0.85</v>
      </c>
    </row>
    <row r="87" spans="15:27" ht="11.25">
      <c r="O87" s="87" t="str">
        <f>USD!O88</f>
        <v>г. Смоленск</v>
      </c>
      <c r="P87" s="88">
        <f>USD!P88</f>
        <v>100</v>
      </c>
      <c r="Q87" s="88">
        <f>USD!Q88</f>
        <v>85</v>
      </c>
      <c r="R87" s="176">
        <f>USD!R88</f>
        <v>0.9</v>
      </c>
      <c r="S87" s="176">
        <f>USD!S88</f>
        <v>0.85</v>
      </c>
      <c r="T87" s="176">
        <f>USD!T88</f>
        <v>0.7</v>
      </c>
      <c r="U87" s="176">
        <f>USD!U88</f>
        <v>0.85</v>
      </c>
      <c r="V87" s="176">
        <f>USD!V88</f>
        <v>0.7</v>
      </c>
      <c r="W87" s="176">
        <f>USD!W88</f>
        <v>0.9</v>
      </c>
      <c r="X87" s="176">
        <f>USD!X88</f>
        <v>0.95</v>
      </c>
      <c r="Y87" s="176">
        <f>USD!Y88</f>
        <v>1</v>
      </c>
      <c r="Z87" s="176">
        <f>USD!Z88</f>
        <v>0.9</v>
      </c>
      <c r="AA87" s="176">
        <f>USD!AA88</f>
        <v>0.85</v>
      </c>
    </row>
    <row r="88" spans="15:27" ht="11.25">
      <c r="O88" s="87" t="str">
        <f>USD!O89</f>
        <v>Тульская область (не включая г. Тула и г. Новомосковск)</v>
      </c>
      <c r="P88" s="88">
        <f>USD!P89</f>
        <v>100</v>
      </c>
      <c r="Q88" s="88">
        <f>USD!Q89</f>
        <v>85</v>
      </c>
      <c r="R88" s="176">
        <f>USD!R89</f>
        <v>0.85</v>
      </c>
      <c r="S88" s="176">
        <f>USD!S89</f>
        <v>0.85</v>
      </c>
      <c r="T88" s="176">
        <f>USD!T89</f>
        <v>0.7</v>
      </c>
      <c r="U88" s="176">
        <f>USD!U89</f>
        <v>0.85</v>
      </c>
      <c r="V88" s="176">
        <f>USD!V89</f>
        <v>0.7</v>
      </c>
      <c r="W88" s="176">
        <f>USD!W89</f>
        <v>0.85</v>
      </c>
      <c r="X88" s="176">
        <f>USD!X89</f>
        <v>0.95</v>
      </c>
      <c r="Y88" s="176">
        <f>USD!Y89</f>
        <v>1</v>
      </c>
      <c r="Z88" s="176">
        <f>USD!Z89</f>
        <v>0.9</v>
      </c>
      <c r="AA88" s="176">
        <f>USD!AA89</f>
        <v>0.85</v>
      </c>
    </row>
    <row r="89" spans="15:27" ht="11.25">
      <c r="O89" s="87" t="str">
        <f>USD!O90</f>
        <v>г. Тула</v>
      </c>
      <c r="P89" s="88">
        <f>USD!P90</f>
        <v>100</v>
      </c>
      <c r="Q89" s="88">
        <f>USD!Q90</f>
        <v>85</v>
      </c>
      <c r="R89" s="176">
        <f>USD!R90</f>
        <v>0.9</v>
      </c>
      <c r="S89" s="176">
        <f>USD!S90</f>
        <v>0.85</v>
      </c>
      <c r="T89" s="176">
        <f>USD!T90</f>
        <v>0.7</v>
      </c>
      <c r="U89" s="176">
        <f>USD!U90</f>
        <v>0.85</v>
      </c>
      <c r="V89" s="176">
        <f>USD!V90</f>
        <v>0.7</v>
      </c>
      <c r="W89" s="176">
        <f>USD!W90</f>
        <v>0.9</v>
      </c>
      <c r="X89" s="176">
        <f>USD!X90</f>
        <v>0.95</v>
      </c>
      <c r="Y89" s="176">
        <f>USD!Y90</f>
        <v>1</v>
      </c>
      <c r="Z89" s="176">
        <f>USD!Z90</f>
        <v>0.9</v>
      </c>
      <c r="AA89" s="176">
        <f>USD!AA90</f>
        <v>0.85</v>
      </c>
    </row>
    <row r="90" spans="15:27" ht="11.25">
      <c r="O90" s="87" t="str">
        <f>USD!O91</f>
        <v>г. Новомосковск</v>
      </c>
      <c r="P90" s="88">
        <f>USD!P91</f>
        <v>100</v>
      </c>
      <c r="Q90" s="88">
        <f>USD!Q91</f>
        <v>85</v>
      </c>
      <c r="R90" s="176">
        <f>USD!R91</f>
        <v>0.9</v>
      </c>
      <c r="S90" s="176">
        <f>USD!S91</f>
        <v>0.85</v>
      </c>
      <c r="T90" s="176">
        <f>USD!T91</f>
        <v>0.7</v>
      </c>
      <c r="U90" s="176">
        <f>USD!U91</f>
        <v>0.85</v>
      </c>
      <c r="V90" s="176">
        <f>USD!V91</f>
        <v>0.7</v>
      </c>
      <c r="W90" s="176">
        <f>USD!W91</f>
        <v>0.9</v>
      </c>
      <c r="X90" s="176">
        <f>USD!X91</f>
        <v>0.95</v>
      </c>
      <c r="Y90" s="176">
        <f>USD!Y91</f>
        <v>1</v>
      </c>
      <c r="Z90" s="176">
        <f>USD!Z91</f>
        <v>0.9</v>
      </c>
      <c r="AA90" s="176">
        <f>USD!AA91</f>
        <v>0.85</v>
      </c>
    </row>
    <row r="91" spans="15:27" ht="11.25">
      <c r="O91" s="87" t="str">
        <f>USD!O92</f>
        <v>Тверская область (включая г. Тверь)</v>
      </c>
      <c r="P91" s="88">
        <f>USD!P92</f>
        <v>100</v>
      </c>
      <c r="Q91" s="88">
        <f>USD!Q92</f>
        <v>85</v>
      </c>
      <c r="R91" s="176">
        <f>USD!R92</f>
        <v>0.85</v>
      </c>
      <c r="S91" s="176">
        <f>USD!S92</f>
        <v>0.85</v>
      </c>
      <c r="T91" s="176">
        <f>USD!T92</f>
        <v>0.7</v>
      </c>
      <c r="U91" s="176">
        <f>USD!U92</f>
        <v>0.85</v>
      </c>
      <c r="V91" s="176">
        <f>USD!V92</f>
        <v>0.7</v>
      </c>
      <c r="W91" s="176">
        <f>USD!W92</f>
        <v>0.85</v>
      </c>
      <c r="X91" s="176">
        <f>USD!X92</f>
        <v>0.95</v>
      </c>
      <c r="Y91" s="176">
        <f>USD!Y92</f>
        <v>1</v>
      </c>
      <c r="Z91" s="176">
        <f>USD!Z92</f>
        <v>0.9</v>
      </c>
      <c r="AA91" s="176">
        <f>USD!AA92</f>
        <v>0.85</v>
      </c>
    </row>
    <row r="92" spans="15:27" ht="11.25">
      <c r="O92" s="87" t="str">
        <f>USD!O93</f>
        <v>Томская область (не включая г. Томск)</v>
      </c>
      <c r="P92" s="88">
        <f>USD!P93</f>
        <v>100</v>
      </c>
      <c r="Q92" s="88">
        <f>USD!Q93</f>
        <v>85</v>
      </c>
      <c r="R92" s="176">
        <f>USD!R93</f>
        <v>0.85</v>
      </c>
      <c r="S92" s="176">
        <f>USD!S93</f>
        <v>0.85</v>
      </c>
      <c r="T92" s="176">
        <f>USD!T93</f>
        <v>0.7</v>
      </c>
      <c r="U92" s="176">
        <f>USD!U93</f>
        <v>0.85</v>
      </c>
      <c r="V92" s="176">
        <f>USD!V93</f>
        <v>0.7</v>
      </c>
      <c r="W92" s="176">
        <f>USD!W93</f>
        <v>0.85</v>
      </c>
      <c r="X92" s="176">
        <f>USD!X93</f>
        <v>0.95</v>
      </c>
      <c r="Y92" s="176">
        <f>USD!Y93</f>
        <v>1</v>
      </c>
      <c r="Z92" s="176">
        <f>USD!Z93</f>
        <v>0.9</v>
      </c>
      <c r="AA92" s="176">
        <f>USD!AA93</f>
        <v>0.85</v>
      </c>
    </row>
    <row r="93" spans="15:27" ht="11.25">
      <c r="O93" s="87" t="str">
        <f>USD!O94</f>
        <v>г. Томск</v>
      </c>
      <c r="P93" s="88">
        <f>USD!P94</f>
        <v>100</v>
      </c>
      <c r="Q93" s="88">
        <f>USD!Q94</f>
        <v>85</v>
      </c>
      <c r="R93" s="176">
        <f>USD!R94</f>
        <v>0.9</v>
      </c>
      <c r="S93" s="176">
        <f>USD!S94</f>
        <v>0.85</v>
      </c>
      <c r="T93" s="176">
        <f>USD!T94</f>
        <v>0.7</v>
      </c>
      <c r="U93" s="176">
        <f>USD!U94</f>
        <v>0.85</v>
      </c>
      <c r="V93" s="176">
        <f>USD!V94</f>
        <v>0.7</v>
      </c>
      <c r="W93" s="176">
        <f>USD!W94</f>
        <v>0.9</v>
      </c>
      <c r="X93" s="176">
        <f>USD!X94</f>
        <v>0.95</v>
      </c>
      <c r="Y93" s="176">
        <f>USD!Y94</f>
        <v>1</v>
      </c>
      <c r="Z93" s="176">
        <f>USD!Z94</f>
        <v>0.9</v>
      </c>
      <c r="AA93" s="176">
        <f>USD!AA94</f>
        <v>0.85</v>
      </c>
    </row>
    <row r="94" spans="15:27" ht="11.25">
      <c r="O94" s="87" t="str">
        <f>USD!O95</f>
        <v>Тюменская область (не включая г. Тюмень)</v>
      </c>
      <c r="P94" s="88">
        <f>USD!P95</f>
        <v>100</v>
      </c>
      <c r="Q94" s="88">
        <f>USD!Q95</f>
        <v>85</v>
      </c>
      <c r="R94" s="176">
        <f>USD!R95</f>
        <v>0.85</v>
      </c>
      <c r="S94" s="176">
        <f>USD!S95</f>
        <v>0.85</v>
      </c>
      <c r="T94" s="176">
        <f>USD!T95</f>
        <v>0.7</v>
      </c>
      <c r="U94" s="176">
        <f>USD!U95</f>
        <v>0.85</v>
      </c>
      <c r="V94" s="176">
        <f>USD!V95</f>
        <v>0.7</v>
      </c>
      <c r="W94" s="176">
        <f>USD!W95</f>
        <v>0.85</v>
      </c>
      <c r="X94" s="176">
        <f>USD!X95</f>
        <v>0.95</v>
      </c>
      <c r="Y94" s="176">
        <f>USD!Y95</f>
        <v>1</v>
      </c>
      <c r="Z94" s="176">
        <f>USD!Z95</f>
        <v>0.9</v>
      </c>
      <c r="AA94" s="176">
        <f>USD!AA95</f>
        <v>0.85</v>
      </c>
    </row>
    <row r="95" spans="15:27" ht="11.25">
      <c r="O95" s="87" t="str">
        <f>USD!O96</f>
        <v>г. Тюмень</v>
      </c>
      <c r="P95" s="88">
        <f>USD!P96</f>
        <v>100</v>
      </c>
      <c r="Q95" s="88">
        <f>USD!Q96</f>
        <v>85</v>
      </c>
      <c r="R95" s="176">
        <f>USD!R96</f>
        <v>0.95</v>
      </c>
      <c r="S95" s="176">
        <f>USD!S96</f>
        <v>0.95</v>
      </c>
      <c r="T95" s="176">
        <f>USD!T96</f>
        <v>0.9</v>
      </c>
      <c r="U95" s="176">
        <f>USD!U96</f>
        <v>0.95</v>
      </c>
      <c r="V95" s="176">
        <f>USD!V96</f>
        <v>0.95</v>
      </c>
      <c r="W95" s="176">
        <f>USD!W96</f>
        <v>0.95</v>
      </c>
      <c r="X95" s="176">
        <f>USD!X96</f>
        <v>0.95</v>
      </c>
      <c r="Y95" s="176">
        <f>USD!Y96</f>
        <v>1</v>
      </c>
      <c r="Z95" s="176">
        <f>USD!Z96</f>
        <v>0.9</v>
      </c>
      <c r="AA95" s="176">
        <f>USD!AA96</f>
        <v>0.85</v>
      </c>
    </row>
    <row r="96" spans="15:27" ht="11.25">
      <c r="O96" s="87" t="str">
        <f>USD!O97</f>
        <v>Ульяновская область (не включая г. Ульяновск)</v>
      </c>
      <c r="P96" s="88">
        <f>USD!P97</f>
        <v>100</v>
      </c>
      <c r="Q96" s="88">
        <f>USD!Q97</f>
        <v>85</v>
      </c>
      <c r="R96" s="176">
        <f>USD!R97</f>
        <v>0.85</v>
      </c>
      <c r="S96" s="176">
        <f>USD!S97</f>
        <v>0.85</v>
      </c>
      <c r="T96" s="176">
        <f>USD!T97</f>
        <v>0.7</v>
      </c>
      <c r="U96" s="176">
        <f>USD!U97</f>
        <v>0.85</v>
      </c>
      <c r="V96" s="176">
        <f>USD!V97</f>
        <v>0.7</v>
      </c>
      <c r="W96" s="176">
        <f>USD!W97</f>
        <v>0.85</v>
      </c>
      <c r="X96" s="176">
        <f>USD!X97</f>
        <v>0.95</v>
      </c>
      <c r="Y96" s="176">
        <f>USD!Y97</f>
        <v>1</v>
      </c>
      <c r="Z96" s="176">
        <f>USD!Z97</f>
        <v>0.9</v>
      </c>
      <c r="AA96" s="176">
        <f>USD!AA97</f>
        <v>0.85</v>
      </c>
    </row>
    <row r="97" spans="15:27" ht="11.25">
      <c r="O97" s="87" t="str">
        <f>USD!O98</f>
        <v>г. Ульяновск</v>
      </c>
      <c r="P97" s="88">
        <f>USD!P98</f>
        <v>100</v>
      </c>
      <c r="Q97" s="88">
        <f>USD!Q98</f>
        <v>85</v>
      </c>
      <c r="R97" s="176">
        <f>USD!R98</f>
        <v>0.9</v>
      </c>
      <c r="S97" s="176">
        <f>USD!S98</f>
        <v>0.85</v>
      </c>
      <c r="T97" s="176">
        <f>USD!T98</f>
        <v>0.7</v>
      </c>
      <c r="U97" s="176">
        <f>USD!U98</f>
        <v>0.85</v>
      </c>
      <c r="V97" s="176">
        <f>USD!V98</f>
        <v>0.7</v>
      </c>
      <c r="W97" s="176">
        <f>USD!W98</f>
        <v>0.9</v>
      </c>
      <c r="X97" s="176">
        <f>USD!X98</f>
        <v>0.95</v>
      </c>
      <c r="Y97" s="176">
        <f>USD!Y98</f>
        <v>1</v>
      </c>
      <c r="Z97" s="176">
        <f>USD!Z98</f>
        <v>0.9</v>
      </c>
      <c r="AA97" s="176">
        <f>USD!AA98</f>
        <v>0.85</v>
      </c>
    </row>
    <row r="98" spans="15:27" ht="11.25">
      <c r="O98" s="87" t="str">
        <f>USD!O99</f>
        <v>Хабаровский край (не включая г. Хабаровск)</v>
      </c>
      <c r="P98" s="88">
        <f>USD!P99</f>
        <v>120</v>
      </c>
      <c r="Q98" s="88">
        <f>USD!Q99</f>
        <v>100</v>
      </c>
      <c r="R98" s="176">
        <f>USD!R99</f>
        <v>0.85</v>
      </c>
      <c r="S98" s="176">
        <f>USD!S99</f>
        <v>0.85</v>
      </c>
      <c r="T98" s="176">
        <f>USD!T99</f>
        <v>0.7</v>
      </c>
      <c r="U98" s="176">
        <f>USD!U99</f>
        <v>0.85</v>
      </c>
      <c r="V98" s="176">
        <f>USD!V99</f>
        <v>0.7</v>
      </c>
      <c r="W98" s="176">
        <f>USD!W99</f>
        <v>0.85</v>
      </c>
      <c r="X98" s="176">
        <f>USD!X99</f>
        <v>0.95</v>
      </c>
      <c r="Y98" s="176">
        <f>USD!Y99</f>
        <v>1</v>
      </c>
      <c r="Z98" s="176">
        <f>USD!Z99</f>
        <v>0.9</v>
      </c>
      <c r="AA98" s="176">
        <f>USD!AA99</f>
        <v>0.85</v>
      </c>
    </row>
    <row r="99" spans="15:27" ht="11.25">
      <c r="O99" s="87" t="str">
        <f>USD!O100</f>
        <v>г. Хабаровск</v>
      </c>
      <c r="P99" s="88">
        <f>USD!P100</f>
        <v>120</v>
      </c>
      <c r="Q99" s="88">
        <f>USD!Q100</f>
        <v>100</v>
      </c>
      <c r="R99" s="176">
        <f>USD!R100</f>
        <v>0.95</v>
      </c>
      <c r="S99" s="176">
        <f>USD!S100</f>
        <v>0.95</v>
      </c>
      <c r="T99" s="176">
        <f>USD!T100</f>
        <v>0.9</v>
      </c>
      <c r="U99" s="176">
        <f>USD!U100</f>
        <v>0.95</v>
      </c>
      <c r="V99" s="176">
        <f>USD!V100</f>
        <v>0.95</v>
      </c>
      <c r="W99" s="176">
        <f>USD!W100</f>
        <v>0.95</v>
      </c>
      <c r="X99" s="176">
        <f>USD!X100</f>
        <v>0.95</v>
      </c>
      <c r="Y99" s="176">
        <f>USD!Y100</f>
        <v>1</v>
      </c>
      <c r="Z99" s="176">
        <f>USD!Z100</f>
        <v>0.9</v>
      </c>
      <c r="AA99" s="176">
        <f>USD!AA100</f>
        <v>0.85</v>
      </c>
    </row>
    <row r="100" spans="15:27" ht="11.25">
      <c r="O100" s="87" t="str">
        <f>USD!O101</f>
        <v>Челябинская область (не включая г. Челябинск)</v>
      </c>
      <c r="P100" s="88">
        <f>USD!P101</f>
        <v>100</v>
      </c>
      <c r="Q100" s="88">
        <f>USD!Q101</f>
        <v>85</v>
      </c>
      <c r="R100" s="176">
        <f>USD!R101</f>
        <v>0.85</v>
      </c>
      <c r="S100" s="176">
        <f>USD!S101</f>
        <v>0.85</v>
      </c>
      <c r="T100" s="176">
        <f>USD!T101</f>
        <v>0.7</v>
      </c>
      <c r="U100" s="176">
        <f>USD!U101</f>
        <v>0.85</v>
      </c>
      <c r="V100" s="176">
        <f>USD!V101</f>
        <v>0.7</v>
      </c>
      <c r="W100" s="176">
        <f>USD!W101</f>
        <v>0.85</v>
      </c>
      <c r="X100" s="176">
        <f>USD!X101</f>
        <v>0.95</v>
      </c>
      <c r="Y100" s="176">
        <f>USD!Y101</f>
        <v>1</v>
      </c>
      <c r="Z100" s="176">
        <f>USD!Z101</f>
        <v>0.9</v>
      </c>
      <c r="AA100" s="176">
        <f>USD!AA101</f>
        <v>0.85</v>
      </c>
    </row>
    <row r="101" spans="15:27" ht="11.25">
      <c r="O101" s="87" t="str">
        <f>USD!O102</f>
        <v>г. Челябинск</v>
      </c>
      <c r="P101" s="88">
        <f>USD!P102</f>
        <v>100</v>
      </c>
      <c r="Q101" s="88">
        <f>USD!Q102</f>
        <v>85</v>
      </c>
      <c r="R101" s="176">
        <f>USD!R102</f>
        <v>0.9</v>
      </c>
      <c r="S101" s="176">
        <f>USD!S102</f>
        <v>0.85</v>
      </c>
      <c r="T101" s="176">
        <f>USD!T102</f>
        <v>0.7</v>
      </c>
      <c r="U101" s="176">
        <f>USD!U102</f>
        <v>0.85</v>
      </c>
      <c r="V101" s="176">
        <f>USD!V102</f>
        <v>0.7</v>
      </c>
      <c r="W101" s="176">
        <f>USD!W102</f>
        <v>0.9</v>
      </c>
      <c r="X101" s="176">
        <f>USD!X102</f>
        <v>0.95</v>
      </c>
      <c r="Y101" s="176">
        <f>USD!Y102</f>
        <v>1</v>
      </c>
      <c r="Z101" s="176">
        <f>USD!Z102</f>
        <v>0.9</v>
      </c>
      <c r="AA101" s="176">
        <f>USD!AA102</f>
        <v>0.85</v>
      </c>
    </row>
    <row r="102" spans="15:27" ht="11.25">
      <c r="O102" s="87" t="str">
        <f>USD!O103</f>
        <v>Чувашская республика (включая г. Чебоксары)</v>
      </c>
      <c r="P102" s="88">
        <f>USD!P103</f>
        <v>100</v>
      </c>
      <c r="Q102" s="88">
        <f>USD!Q103</f>
        <v>85</v>
      </c>
      <c r="R102" s="176">
        <f>USD!R103</f>
        <v>0.85</v>
      </c>
      <c r="S102" s="176">
        <f>USD!S103</f>
        <v>0.85</v>
      </c>
      <c r="T102" s="176">
        <f>USD!T103</f>
        <v>0.7</v>
      </c>
      <c r="U102" s="176">
        <f>USD!U103</f>
        <v>0.85</v>
      </c>
      <c r="V102" s="176">
        <f>USD!V103</f>
        <v>0.7</v>
      </c>
      <c r="W102" s="176">
        <f>USD!W103</f>
        <v>0.85</v>
      </c>
      <c r="X102" s="176">
        <f>USD!X103</f>
        <v>0.95</v>
      </c>
      <c r="Y102" s="176">
        <f>USD!Y103</f>
        <v>1</v>
      </c>
      <c r="Z102" s="176">
        <f>USD!Z103</f>
        <v>0.9</v>
      </c>
      <c r="AA102" s="176">
        <f>USD!AA103</f>
        <v>0.85</v>
      </c>
    </row>
    <row r="103" spans="15:27" ht="11.25">
      <c r="O103" s="87" t="str">
        <f>USD!O104</f>
        <v>Ярославская область (не включая г. Ярославль)</v>
      </c>
      <c r="P103" s="88">
        <f>USD!P104</f>
        <v>100</v>
      </c>
      <c r="Q103" s="88">
        <f>USD!Q104</f>
        <v>85</v>
      </c>
      <c r="R103" s="176">
        <f>USD!R104</f>
        <v>0.85</v>
      </c>
      <c r="S103" s="176">
        <f>USD!S104</f>
        <v>0.85</v>
      </c>
      <c r="T103" s="176">
        <f>USD!T104</f>
        <v>0.7</v>
      </c>
      <c r="U103" s="176">
        <f>USD!U104</f>
        <v>0.85</v>
      </c>
      <c r="V103" s="176">
        <f>USD!V104</f>
        <v>0.7</v>
      </c>
      <c r="W103" s="176">
        <f>USD!W104</f>
        <v>0.85</v>
      </c>
      <c r="X103" s="176">
        <f>USD!X104</f>
        <v>0.95</v>
      </c>
      <c r="Y103" s="176">
        <f>USD!Y104</f>
        <v>1</v>
      </c>
      <c r="Z103" s="176">
        <f>USD!Z104</f>
        <v>0.9</v>
      </c>
      <c r="AA103" s="176">
        <f>USD!AA104</f>
        <v>0.85</v>
      </c>
    </row>
    <row r="104" spans="15:27" ht="11.25">
      <c r="O104" s="87" t="str">
        <f>USD!O105</f>
        <v>г. Ярославль</v>
      </c>
      <c r="P104" s="88">
        <f>USD!P105</f>
        <v>100</v>
      </c>
      <c r="Q104" s="88">
        <f>USD!Q105</f>
        <v>85</v>
      </c>
      <c r="R104" s="176">
        <f>USD!R105</f>
        <v>0.9</v>
      </c>
      <c r="S104" s="176">
        <f>USD!S105</f>
        <v>0.85</v>
      </c>
      <c r="T104" s="176">
        <f>USD!T105</f>
        <v>0.7</v>
      </c>
      <c r="U104" s="176">
        <f>USD!U105</f>
        <v>0.85</v>
      </c>
      <c r="V104" s="176">
        <f>USD!V105</f>
        <v>0.7</v>
      </c>
      <c r="W104" s="176">
        <f>USD!W105</f>
        <v>0.9</v>
      </c>
      <c r="X104" s="176">
        <f>USD!X105</f>
        <v>0.95</v>
      </c>
      <c r="Y104" s="176">
        <f>USD!Y105</f>
        <v>1</v>
      </c>
      <c r="Z104" s="176">
        <f>USD!Z105</f>
        <v>0.9</v>
      </c>
      <c r="AA104" s="176">
        <f>USD!AA105</f>
        <v>0.85</v>
      </c>
    </row>
  </sheetData>
  <sheetProtection password="84F1" sheet="1" objects="1" scenarios="1"/>
  <mergeCells count="11">
    <mergeCell ref="Y25:AA25"/>
    <mergeCell ref="U25:V25"/>
    <mergeCell ref="W25:X25"/>
    <mergeCell ref="A6:B6"/>
    <mergeCell ref="B18:H18"/>
    <mergeCell ref="A5:B5"/>
    <mergeCell ref="I5:J5"/>
    <mergeCell ref="B2:H2"/>
    <mergeCell ref="H4:J4"/>
    <mergeCell ref="F4:G4"/>
    <mergeCell ref="F5:H5"/>
  </mergeCells>
  <dataValidations count="4">
    <dataValidation type="whole" operator="lessThanOrEqual" allowBlank="1" showErrorMessage="1" promptTitle="ошибка " errorTitle="Ошибка ввода" error="Срок кредита не может быть более 25 лет." sqref="C5 E5">
      <formula1>25</formula1>
    </dataValidation>
    <dataValidation type="list" allowBlank="1" showInputMessage="1" showErrorMessage="1" sqref="H4:J4">
      <formula1>$S$4:$S$5</formula1>
    </dataValidation>
    <dataValidation type="decimal" operator="lessThanOrEqual" allowBlank="1" showInputMessage="1" showErrorMessage="1" sqref="B18:H18">
      <formula1>1</formula1>
    </dataValidation>
    <dataValidation type="list" allowBlank="1" showInputMessage="1" showErrorMessage="1" sqref="B2:H2">
      <formula1>$O$27:$O$104</formula1>
    </dataValidation>
  </dataValidations>
  <printOptions/>
  <pageMargins left="0.75" right="0.75" top="1" bottom="1" header="0.5" footer="0.5"/>
  <pageSetup orientation="portrait" paperSize="9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2:AA104"/>
  <sheetViews>
    <sheetView workbookViewId="0" topLeftCell="A1">
      <selection activeCell="C17" sqref="C17"/>
    </sheetView>
  </sheetViews>
  <sheetFormatPr defaultColWidth="9.00390625" defaultRowHeight="12.75"/>
  <cols>
    <col min="1" max="1" width="29.00390625" style="78" customWidth="1"/>
    <col min="2" max="2" width="16.75390625" style="79" customWidth="1"/>
    <col min="3" max="3" width="5.75390625" style="79" customWidth="1"/>
    <col min="4" max="4" width="16.75390625" style="79" customWidth="1"/>
    <col min="5" max="5" width="5.75390625" style="79" customWidth="1"/>
    <col min="6" max="6" width="16.75390625" style="79" customWidth="1"/>
    <col min="7" max="7" width="5.75390625" style="79" customWidth="1"/>
    <col min="8" max="8" width="16.75390625" style="79" customWidth="1"/>
    <col min="9" max="9" width="5.75390625" style="79" customWidth="1"/>
    <col min="10" max="10" width="16.75390625" style="79" customWidth="1"/>
    <col min="11" max="11" width="6.875" style="79" customWidth="1"/>
    <col min="12" max="12" width="19.00390625" style="79" bestFit="1" customWidth="1"/>
    <col min="13" max="13" width="9.125" style="79" customWidth="1"/>
    <col min="14" max="14" width="21.125" style="79" hidden="1" customWidth="1"/>
    <col min="15" max="15" width="11.00390625" style="79" hidden="1" customWidth="1"/>
    <col min="16" max="16" width="12.75390625" style="79" hidden="1" customWidth="1"/>
    <col min="17" max="17" width="13.375" style="79" hidden="1" customWidth="1"/>
    <col min="18" max="18" width="12.75390625" style="79" hidden="1" customWidth="1"/>
    <col min="19" max="19" width="11.25390625" style="79" hidden="1" customWidth="1"/>
    <col min="20" max="20" width="12.125" style="79" hidden="1" customWidth="1"/>
    <col min="21" max="21" width="10.875" style="79" hidden="1" customWidth="1"/>
    <col min="22" max="27" width="0" style="79" hidden="1" customWidth="1"/>
    <col min="28" max="16384" width="9.125" style="79" customWidth="1"/>
  </cols>
  <sheetData>
    <row r="1" ht="9" customHeight="1" thickBot="1"/>
    <row r="2" spans="1:15" ht="17.25" thickBot="1" thickTop="1">
      <c r="A2" s="31" t="s">
        <v>26</v>
      </c>
      <c r="B2" s="200" t="s">
        <v>122</v>
      </c>
      <c r="C2" s="201"/>
      <c r="D2" s="201"/>
      <c r="E2" s="201"/>
      <c r="F2" s="201"/>
      <c r="G2" s="201"/>
      <c r="H2" s="202"/>
      <c r="J2" s="32">
        <f>O2</f>
        <v>100</v>
      </c>
      <c r="N2" s="2"/>
      <c r="O2" s="7">
        <f>IF(C6&gt;=USD!V114,O6,O5)</f>
        <v>100</v>
      </c>
    </row>
    <row r="3" spans="14:15" ht="9" customHeight="1" thickBot="1" thickTop="1">
      <c r="N3" s="2"/>
      <c r="O3" s="2">
        <f>VLOOKUP(B2,O27:W104,9,FALSE)</f>
        <v>0.85</v>
      </c>
    </row>
    <row r="4" spans="6:19" ht="17.25" thickBot="1" thickTop="1">
      <c r="F4" s="252" t="s">
        <v>62</v>
      </c>
      <c r="G4" s="253"/>
      <c r="H4" s="249" t="s">
        <v>21</v>
      </c>
      <c r="I4" s="250"/>
      <c r="J4" s="251"/>
      <c r="K4" s="144"/>
      <c r="L4" s="144"/>
      <c r="M4" s="145"/>
      <c r="N4" s="2"/>
      <c r="O4" s="2"/>
      <c r="R4" s="79">
        <v>1</v>
      </c>
      <c r="S4" s="77" t="s">
        <v>22</v>
      </c>
    </row>
    <row r="5" spans="1:19" ht="17.25" thickBot="1" thickTop="1">
      <c r="A5" s="194" t="s">
        <v>0</v>
      </c>
      <c r="B5" s="195"/>
      <c r="C5" s="33">
        <v>10</v>
      </c>
      <c r="D5" s="54" t="s">
        <v>1</v>
      </c>
      <c r="E5" s="146"/>
      <c r="F5" s="260" t="s">
        <v>2</v>
      </c>
      <c r="G5" s="260"/>
      <c r="H5" s="255"/>
      <c r="I5" s="247">
        <f>IF(H4=S5,Q8,Q7)</f>
        <v>0.112</v>
      </c>
      <c r="J5" s="248"/>
      <c r="K5" s="147"/>
      <c r="L5" s="147"/>
      <c r="N5" s="2"/>
      <c r="O5" s="7">
        <f>VLOOKUP(B2,O27:P104,2,FALSE)</f>
        <v>100</v>
      </c>
      <c r="R5" s="79">
        <v>2</v>
      </c>
      <c r="S5" s="77" t="s">
        <v>21</v>
      </c>
    </row>
    <row r="6" spans="1:15" ht="17.25" thickBot="1" thickTop="1">
      <c r="A6" s="203" t="s">
        <v>3</v>
      </c>
      <c r="B6" s="204"/>
      <c r="C6" s="33">
        <v>1</v>
      </c>
      <c r="D6" s="159"/>
      <c r="E6" s="159"/>
      <c r="F6" s="260" t="s">
        <v>14</v>
      </c>
      <c r="G6" s="260"/>
      <c r="H6" s="255"/>
      <c r="I6" s="211">
        <v>28.2517</v>
      </c>
      <c r="J6" s="259"/>
      <c r="K6" s="150"/>
      <c r="L6" s="150"/>
      <c r="N6" s="7">
        <f>O2*C6</f>
        <v>100</v>
      </c>
      <c r="O6" s="7">
        <f>VLOOKUP(B2,O27:Q104,3,FALSE)</f>
        <v>85</v>
      </c>
    </row>
    <row r="7" spans="2:17" ht="26.25" thickTop="1">
      <c r="B7" s="27" t="s">
        <v>4</v>
      </c>
      <c r="D7" s="27" t="s">
        <v>5</v>
      </c>
      <c r="F7" s="27" t="s">
        <v>6</v>
      </c>
      <c r="H7" s="27" t="s">
        <v>8</v>
      </c>
      <c r="J7" s="27" t="s">
        <v>7</v>
      </c>
      <c r="L7" s="124"/>
      <c r="Q7" s="79">
        <f>IF(C5&lt;=USD!O148,IF(J18&lt;USD!T146,USD!T148,IF(J18&lt;USD!U146,USD!U148,IF(J18&lt;USD!V146,USD!V148,USD!W148))),IF(C5&lt;=USD!O152,IF(J18&lt;USD!T146,USD!T152,IF(J18&lt;USD!U146,USD!U152,IF(J18&lt;USD!V146,USD!V152,USD!W152))),10))</f>
        <v>0.112</v>
      </c>
    </row>
    <row r="8" spans="2:17" ht="9" customHeight="1" thickBot="1">
      <c r="B8" s="151"/>
      <c r="D8" s="151"/>
      <c r="F8" s="151"/>
      <c r="J8" s="151"/>
      <c r="Q8" s="79">
        <f>IF(C5&lt;=USD!O148,IF(B18&lt;USD!T146,USD!T148,IF(B18&lt;USD!U146,USD!U148,IF(B18&lt;USD!V146,USD!V148,USD!W148))),IF(C5&lt;=USD!O152,IF(B18&lt;USD!T146,USD!T152,IF(B18&lt;USD!U146,USD!U152,IF(B18&lt;USD!V146,USD!V152,USD!W152))),10))</f>
        <v>0.112</v>
      </c>
    </row>
    <row r="9" spans="1:12" ht="27" customHeight="1" thickBot="1" thickTop="1">
      <c r="A9" s="31" t="s">
        <v>9</v>
      </c>
      <c r="B9" s="136">
        <v>2000000</v>
      </c>
      <c r="C9" s="126"/>
      <c r="D9" s="137">
        <f>IF(H4=S5,D11/O3,0)</f>
        <v>3529411.7647058824</v>
      </c>
      <c r="E9" s="126"/>
      <c r="F9" s="137">
        <f>IF(H4=S5,F11/O3,0)</f>
        <v>2964798.823529412</v>
      </c>
      <c r="G9" s="126"/>
      <c r="H9" s="137">
        <f>IF(H4=S5,IF(O3=1,H20/O3,H20/(1-O3)),0)</f>
        <v>3333333.333333333</v>
      </c>
      <c r="I9" s="126"/>
      <c r="J9" s="137">
        <f>IF(H4=S5,0,J11/O3)</f>
        <v>0</v>
      </c>
      <c r="K9" s="126"/>
      <c r="L9" s="128"/>
    </row>
    <row r="10" spans="2:12" ht="9" customHeight="1" thickBot="1" thickTop="1">
      <c r="B10" s="126"/>
      <c r="C10" s="126"/>
      <c r="D10" s="126"/>
      <c r="E10" s="126"/>
      <c r="F10" s="126"/>
      <c r="G10" s="126"/>
      <c r="H10" s="126"/>
      <c r="I10" s="126"/>
      <c r="J10" s="126"/>
      <c r="K10" s="126"/>
      <c r="L10" s="152"/>
    </row>
    <row r="11" spans="1:21" s="83" customFormat="1" ht="27" customHeight="1" thickBot="1" thickTop="1">
      <c r="A11" s="31" t="s">
        <v>10</v>
      </c>
      <c r="B11" s="138">
        <f>IF(H4=S5,B9*O3,0)</f>
        <v>1700000</v>
      </c>
      <c r="C11" s="153"/>
      <c r="D11" s="139">
        <v>3000000</v>
      </c>
      <c r="E11" s="127"/>
      <c r="F11" s="138">
        <f>IF(H4=S5,ROUND(F13/(($I$5/12)/(1-(1+($I$5/12))^-($C$5*12))),0),0)</f>
        <v>2520079</v>
      </c>
      <c r="G11" s="127"/>
      <c r="H11" s="138">
        <f>IF(H4=S5,IF(O3=1,H9,H9-H20),0)</f>
        <v>2833333.333333333</v>
      </c>
      <c r="I11" s="127"/>
      <c r="J11" s="138">
        <f>IF(H4=S5,0,ROUND(J13/(($I$5/12)/(1-(1+($I$5/12))^-($C$5*12))),0))</f>
        <v>0</v>
      </c>
      <c r="K11" s="127"/>
      <c r="L11" s="154"/>
      <c r="N11" s="81">
        <f>(B13+$N$6*$I$6)/USD!$Q$123</f>
        <v>40669.4923076923</v>
      </c>
      <c r="O11" s="81">
        <f>B13/USD!$P$123</f>
        <v>52466.666666666664</v>
      </c>
      <c r="P11" s="81">
        <f>(D13+$N$6*$I$6)/USD!$Q$123</f>
        <v>68446.41538461538</v>
      </c>
      <c r="Q11" s="81">
        <f>D13/USD!$P$123</f>
        <v>92588.88888888889</v>
      </c>
      <c r="R11" s="81">
        <f>(F13+$N$6*$I$6)/USD!$Q$123</f>
        <v>58192.56923076922</v>
      </c>
      <c r="S11" s="81">
        <f>F13/USD!$P$123</f>
        <v>77777.77777777778</v>
      </c>
      <c r="T11" s="81">
        <f>(H13+$N$6*$I$6)/USD!$Q$123</f>
        <v>64886.41538461538</v>
      </c>
      <c r="U11" s="81">
        <f>H13/USD!$P$123</f>
        <v>87446.66666666667</v>
      </c>
    </row>
    <row r="12" spans="1:21" ht="9" customHeight="1" thickBot="1" thickTop="1">
      <c r="A12" s="82"/>
      <c r="B12" s="127"/>
      <c r="C12" s="127"/>
      <c r="D12" s="127"/>
      <c r="E12" s="126"/>
      <c r="F12" s="127"/>
      <c r="G12" s="126"/>
      <c r="H12" s="127"/>
      <c r="I12" s="126"/>
      <c r="J12" s="127"/>
      <c r="K12" s="126"/>
      <c r="L12" s="155"/>
      <c r="N12" s="80"/>
      <c r="O12" s="81">
        <f>USD!$O$123+0.01</f>
        <v>30000.01</v>
      </c>
      <c r="P12" s="80"/>
      <c r="Q12" s="81">
        <f>USD!$O$123+0.01</f>
        <v>30000.01</v>
      </c>
      <c r="R12" s="80"/>
      <c r="S12" s="81">
        <f>USD!$O$123+0.01</f>
        <v>30000.01</v>
      </c>
      <c r="T12" s="80"/>
      <c r="U12" s="81">
        <f>USD!$O$123+0.01</f>
        <v>30000.01</v>
      </c>
    </row>
    <row r="13" spans="1:21" s="85" customFormat="1" ht="27" customHeight="1" thickBot="1" thickTop="1">
      <c r="A13" s="37" t="s">
        <v>11</v>
      </c>
      <c r="B13" s="140">
        <f>ROUND(B11*(($I$5/12)/(1-(1+($I$5/12))^-($C$5*12))),0)</f>
        <v>23610</v>
      </c>
      <c r="C13" s="155"/>
      <c r="D13" s="140">
        <f>IF(H4=S5,ROUND(D11*(($I$5/12)/(1-(1+($I$5/12))^-($C$5*12))),0),0)</f>
        <v>41665</v>
      </c>
      <c r="E13" s="152"/>
      <c r="F13" s="141">
        <v>35000</v>
      </c>
      <c r="G13" s="152"/>
      <c r="H13" s="140">
        <f>IF(H4=S5,ROUND(H11*(($I$5/12)/(1-(1+($I$5/12))^-($C$5*12))),0),0)</f>
        <v>39351</v>
      </c>
      <c r="I13" s="152"/>
      <c r="J13" s="63">
        <f>IF(J15=0,0,IF(J15&lt;=USD!O123,MIN(J15*USD!Q123-N6*I6,J15*USD!P123),IF(J15&lt;=USD!O124,MIN(J15*USD!Q124-N6*I6,J15*USD!P124),IF(J15&lt;=USD!O125,MIN(J15*USD!Q125-N6*I6,J15*USD!P125),IF(J15&lt;=USD!O126,MIN(J15*USD!Q126-N6*I6,J15*USD!P126),IF(J15&lt;=USD!O127,MIN(J15*USD!Q127-N6*I6,J15*USD!P127),IF(J15&lt;=USD!O128,MIN(J15*USD!Q128-N6*I6,J15*USD!P128),MIN(J15*USD!Q129-N6*I6,J15*USD!P129))))))))</f>
        <v>0</v>
      </c>
      <c r="K13" s="152"/>
      <c r="L13" s="128"/>
      <c r="N13" s="81">
        <f>(B13+$N$6*$I$6)/USD!$Q$124</f>
        <v>37764.52857142857</v>
      </c>
      <c r="O13" s="81">
        <f>B13/USD!$P$124</f>
        <v>47220</v>
      </c>
      <c r="P13" s="81">
        <f>(D13+$N$6*$I$6)/USD!$Q$124</f>
        <v>63557.385714285716</v>
      </c>
      <c r="Q13" s="81">
        <f>D13/USD!$P$124</f>
        <v>83330</v>
      </c>
      <c r="R13" s="81">
        <f>(F13+$N$6*$I$6)/USD!$Q$124</f>
        <v>54035.95714285714</v>
      </c>
      <c r="S13" s="81">
        <f>F13/USD!$P$124</f>
        <v>70000</v>
      </c>
      <c r="T13" s="81">
        <f>(H13+$N$6*$I$6)/USD!$Q$124</f>
        <v>60251.67142857143</v>
      </c>
      <c r="U13" s="81">
        <f>H13/USD!$P$124</f>
        <v>78702</v>
      </c>
    </row>
    <row r="14" spans="2:21" ht="9" customHeight="1" thickBot="1" thickTop="1">
      <c r="B14" s="126"/>
      <c r="C14" s="126"/>
      <c r="D14" s="126"/>
      <c r="E14" s="126"/>
      <c r="F14" s="126"/>
      <c r="G14" s="126"/>
      <c r="H14" s="126"/>
      <c r="I14" s="126"/>
      <c r="J14" s="126"/>
      <c r="K14" s="126"/>
      <c r="L14" s="152"/>
      <c r="N14" s="81"/>
      <c r="O14" s="81">
        <f>USD!$O$124+0.01</f>
        <v>60000.01</v>
      </c>
      <c r="P14" s="81"/>
      <c r="Q14" s="81">
        <f>USD!$O$124+0.01</f>
        <v>60000.01</v>
      </c>
      <c r="R14" s="81"/>
      <c r="S14" s="81">
        <f>USD!$O$124+0.01</f>
        <v>60000.01</v>
      </c>
      <c r="T14" s="81"/>
      <c r="U14" s="81">
        <f>USD!$O$124+0.01</f>
        <v>60000.01</v>
      </c>
    </row>
    <row r="15" spans="1:21" ht="27" customHeight="1" thickBot="1" thickTop="1">
      <c r="A15" s="38" t="s">
        <v>12</v>
      </c>
      <c r="B15" s="65">
        <f>IF(B9=0,0,IF(MAX(N11:O11)&lt;=USD!$O$123,MAX(N11:O11),IF(MAX(N13:O13)&lt;=USD!$O$124,MAX(N12:O13),IF(MAX(N15:O15)&lt;=USD!$O$125,MAX(N14:O15),IF(MAX(N17:O17)&lt;=USD!$O$126,MAX(N16:O17),IF(MAX(N19:O19)&lt;=USD!$O$127,MAX(N18:O19),IF(MAX(N21:O21)&lt;=USD!$O$128,MAX(N20:O21),MAX(N22:O23))))))))</f>
        <v>47220</v>
      </c>
      <c r="C15" s="157"/>
      <c r="D15" s="65">
        <f>IF(D9=0,0,IF(MAX(P11:Q11)&lt;=USD!$O$123,MAX(P11:Q11),IF(MAX(P13:Q13)&lt;=USD!$O$124,MAX(P12:Q13),IF(MAX(P15:Q15)&lt;=USD!$O$125,MAX(P14:Q15),IF(MAX(P17:Q17)&lt;=USD!$O$126,MAX(P16:Q17),IF(MAX(P19:Q19)&lt;=USD!$O$127,MAX(P18:Q19),IF(MAX(P21:Q21)&lt;=USD!$O$128,MAX(P20:Q21),MAX(P22:Q23))))))))</f>
        <v>75754.54545454544</v>
      </c>
      <c r="E15" s="126"/>
      <c r="F15" s="65">
        <f>IF(F9=0,0,IF(MAX(R11:S11)&lt;=USD!$O$123,MAX(R11:S11),IF(MAX(R13:S13)&lt;=USD!$O$124,MAX(R12:S13),IF(MAX(R15:S15)&lt;=USD!$O$125,MAX(R14:S15),IF(MAX(R17:S17)&lt;=USD!$O$126,MAX(R16:S17),IF(MAX(R19:S19)&lt;=USD!$O$127,MAX(R18:S19),IF(MAX(R21:S21)&lt;=USD!$O$128,MAX(R20:S21),MAX(R22:S23))))))))</f>
        <v>63636.36363636363</v>
      </c>
      <c r="G15" s="126"/>
      <c r="H15" s="65">
        <f>IF(H9=0,0,IF(MAX(T11:U11)&lt;=USD!$O$123,MAX(T11:U11),IF(MAX(T13:U13)&lt;=USD!$O$124,MAX(T12:U13),IF(MAX(T15:U15)&lt;=USD!$O$125,MAX(T14:U15),IF(MAX(T17:U17)&lt;=USD!$O$126,MAX(T16:U17),IF(MAX(T19:U19)&lt;=USD!$O$127,MAX(T18:U19),IF(MAX(T21:U21)&lt;=USD!$O$128,MAX(T20:U21),MAX(T22:U23))))))))</f>
        <v>71547.27272727272</v>
      </c>
      <c r="I15" s="126"/>
      <c r="J15" s="163">
        <f>IF(H4=S5,0,J16+J17)</f>
        <v>0</v>
      </c>
      <c r="K15" s="126"/>
      <c r="L15" s="128"/>
      <c r="N15" s="81">
        <f>(B13+$N$6*$I$6)/USD!$Q$125</f>
        <v>35246.89333333333</v>
      </c>
      <c r="O15" s="81">
        <f>B13/USD!$P$125</f>
        <v>42927.27272727272</v>
      </c>
      <c r="P15" s="81">
        <f>(D13+$N$6*$I$6)/USD!$Q$125</f>
        <v>59320.22666666666</v>
      </c>
      <c r="Q15" s="81">
        <f>D13/USD!$P$125</f>
        <v>75754.54545454544</v>
      </c>
      <c r="R15" s="81">
        <f>(F13+$N$6*$I$6)/USD!$Q$125</f>
        <v>50433.56</v>
      </c>
      <c r="S15" s="81">
        <f>F13/USD!$P$125</f>
        <v>63636.36363636363</v>
      </c>
      <c r="T15" s="81">
        <f>(H13+$N$6*$I$6)/USD!$Q$125</f>
        <v>56234.89333333333</v>
      </c>
      <c r="U15" s="81">
        <f>H13/USD!$P$125</f>
        <v>71547.27272727272</v>
      </c>
    </row>
    <row r="16" spans="1:21" ht="27" customHeight="1" thickBot="1" thickTop="1">
      <c r="A16" s="38" t="s">
        <v>59</v>
      </c>
      <c r="B16" s="128"/>
      <c r="C16" s="157"/>
      <c r="D16" s="128"/>
      <c r="E16" s="152"/>
      <c r="F16" s="128"/>
      <c r="G16" s="152"/>
      <c r="H16" s="128"/>
      <c r="I16" s="81"/>
      <c r="J16" s="142">
        <v>15000</v>
      </c>
      <c r="K16" s="152"/>
      <c r="L16" s="128"/>
      <c r="N16" s="81"/>
      <c r="O16" s="81">
        <f>USD!$O$125+0.01</f>
        <v>90000.01</v>
      </c>
      <c r="P16" s="81"/>
      <c r="Q16" s="81">
        <f>USD!$O$125+0.01</f>
        <v>90000.01</v>
      </c>
      <c r="R16" s="81"/>
      <c r="S16" s="81">
        <f>USD!$O$125+0.01</f>
        <v>90000.01</v>
      </c>
      <c r="T16" s="81"/>
      <c r="U16" s="81">
        <f>USD!$O$125+0.01</f>
        <v>90000.01</v>
      </c>
    </row>
    <row r="17" spans="1:21" ht="27" customHeight="1" thickBot="1" thickTop="1">
      <c r="A17" s="38" t="s">
        <v>60</v>
      </c>
      <c r="B17" s="128"/>
      <c r="C17" s="157"/>
      <c r="D17" s="128"/>
      <c r="E17" s="152"/>
      <c r="F17" s="128"/>
      <c r="G17" s="152"/>
      <c r="H17" s="128"/>
      <c r="I17" s="152"/>
      <c r="J17" s="142">
        <v>0</v>
      </c>
      <c r="K17" s="152"/>
      <c r="L17" s="128"/>
      <c r="N17" s="81">
        <f>(B13+$N$6*$I$6)/USD!$Q$126</f>
        <v>33043.962499999994</v>
      </c>
      <c r="O17" s="81">
        <f>B13/USD!$P$126</f>
        <v>39350</v>
      </c>
      <c r="P17" s="81">
        <f>(D13+$N$6*$I$6)/USD!$Q$126</f>
        <v>55612.712499999994</v>
      </c>
      <c r="Q17" s="81">
        <f>D13/USD!$P$126</f>
        <v>69441.66666666667</v>
      </c>
      <c r="R17" s="81">
        <f>(F13+$N$6*$I$6)/USD!$Q$126</f>
        <v>47281.462499999994</v>
      </c>
      <c r="S17" s="81">
        <f>F13/USD!$P$126</f>
        <v>58333.333333333336</v>
      </c>
      <c r="T17" s="81">
        <f>(H13+$N$6*$I$6)/USD!$Q$126</f>
        <v>52720.212499999994</v>
      </c>
      <c r="U17" s="81">
        <f>H13/USD!$P$126</f>
        <v>65585</v>
      </c>
    </row>
    <row r="18" spans="1:21" ht="27" customHeight="1" thickBot="1" thickTop="1">
      <c r="A18" s="38" t="s">
        <v>61</v>
      </c>
      <c r="B18" s="256">
        <v>1</v>
      </c>
      <c r="C18" s="257"/>
      <c r="D18" s="257"/>
      <c r="E18" s="257"/>
      <c r="F18" s="257"/>
      <c r="G18" s="257"/>
      <c r="H18" s="258"/>
      <c r="I18" s="152"/>
      <c r="J18" s="162">
        <f>J16/(J16+J17)</f>
        <v>1</v>
      </c>
      <c r="K18" s="152"/>
      <c r="L18" s="128"/>
      <c r="O18" s="81">
        <f>USD!$O$126+0.01</f>
        <v>180000.01</v>
      </c>
      <c r="Q18" s="81">
        <f>USD!$O$126+0.01</f>
        <v>180000.01</v>
      </c>
      <c r="S18" s="81">
        <f>USD!$O$126+0.01</f>
        <v>180000.01</v>
      </c>
      <c r="U18" s="81">
        <f>USD!$O$126+0.01</f>
        <v>180000.01</v>
      </c>
    </row>
    <row r="19" spans="3:21" ht="9" customHeight="1" thickBot="1">
      <c r="C19" s="126"/>
      <c r="D19" s="126"/>
      <c r="E19" s="126"/>
      <c r="F19" s="126"/>
      <c r="G19" s="126"/>
      <c r="H19" s="126"/>
      <c r="I19" s="126"/>
      <c r="J19" s="126"/>
      <c r="K19" s="126"/>
      <c r="L19" s="152"/>
      <c r="N19" s="81">
        <f>(B13+$N$6*$I$6)/USD!$Q$127</f>
        <v>31100.199999999997</v>
      </c>
      <c r="O19" s="81">
        <f>B13/USD!$P$127</f>
        <v>36323.07692307692</v>
      </c>
      <c r="P19" s="81">
        <f>(D13+$N$6*$I$6)/USD!$Q$127</f>
        <v>52341.376470588235</v>
      </c>
      <c r="Q19" s="81">
        <f>D13/USD!$P$127</f>
        <v>64100</v>
      </c>
      <c r="R19" s="81">
        <f>(F13+$N$6*$I$6)/USD!$Q$127</f>
        <v>44500.2</v>
      </c>
      <c r="S19" s="81">
        <f>F13/USD!$P$127</f>
        <v>53846.153846153844</v>
      </c>
      <c r="T19" s="81">
        <f>(H13+$N$6*$I$6)/USD!$Q$127</f>
        <v>49619.02352941177</v>
      </c>
      <c r="U19" s="81">
        <f>H13/USD!$P$127</f>
        <v>60540</v>
      </c>
    </row>
    <row r="20" spans="1:21" ht="27" customHeight="1" thickBot="1" thickTop="1">
      <c r="A20" s="31" t="s">
        <v>13</v>
      </c>
      <c r="B20" s="143">
        <f>IF(H4=S5,B9-B11,0)</f>
        <v>300000</v>
      </c>
      <c r="C20" s="126"/>
      <c r="D20" s="143">
        <f>IF(H4=S5,D9-D11,0)</f>
        <v>529411.7647058824</v>
      </c>
      <c r="E20" s="126"/>
      <c r="F20" s="143">
        <f>IF(H4=S5,F9-F11,0)</f>
        <v>444719.82352941204</v>
      </c>
      <c r="G20" s="126"/>
      <c r="H20" s="164">
        <v>500000</v>
      </c>
      <c r="I20" s="126"/>
      <c r="J20" s="143">
        <f>IF(H4=S5,0,J9-J11)</f>
        <v>0</v>
      </c>
      <c r="K20" s="126"/>
      <c r="L20" s="154"/>
      <c r="O20" s="81">
        <f>USD!$O$127+0.01</f>
        <v>270000.01</v>
      </c>
      <c r="Q20" s="81">
        <f>USD!$O$127+0.01</f>
        <v>270000.01</v>
      </c>
      <c r="S20" s="81">
        <f>USD!$O$127+0.01</f>
        <v>270000.01</v>
      </c>
      <c r="U20" s="81">
        <f>USD!$O$127+0.01</f>
        <v>270000.01</v>
      </c>
    </row>
    <row r="21" spans="14:21" ht="9" customHeight="1" thickTop="1">
      <c r="N21" s="81">
        <f>(B13+$N$6*$I$6)/USD!$Q$128</f>
        <v>29372.41111111111</v>
      </c>
      <c r="O21" s="81">
        <f>B13/USD!$P$128</f>
        <v>33728.57142857143</v>
      </c>
      <c r="P21" s="81">
        <f>(D13+$N$6*$I$6)/USD!$Q$128</f>
        <v>49433.52222222222</v>
      </c>
      <c r="Q21" s="81">
        <f>D13/USD!$P$128</f>
        <v>59521.42857142857</v>
      </c>
      <c r="R21" s="81">
        <f>(F13+$N$6*$I$6)/USD!$Q$128</f>
        <v>42027.96666666667</v>
      </c>
      <c r="S21" s="81">
        <f>F13/USD!$P$128</f>
        <v>50000</v>
      </c>
      <c r="T21" s="81">
        <f>(H13+$N$6*$I$6)/USD!$Q$128</f>
        <v>46862.411111111105</v>
      </c>
      <c r="U21" s="81">
        <f>H13/USD!$P$128</f>
        <v>56215.71428571429</v>
      </c>
    </row>
    <row r="22" spans="1:21" ht="12">
      <c r="A22" s="78" t="s">
        <v>23</v>
      </c>
      <c r="O22" s="81">
        <f>USD!$O$128+0.01</f>
        <v>360000.01</v>
      </c>
      <c r="Q22" s="81">
        <f>USD!$O$128+0.01</f>
        <v>360000.01</v>
      </c>
      <c r="S22" s="81">
        <f>USD!$O$128+0.01</f>
        <v>360000.01</v>
      </c>
      <c r="U22" s="81">
        <f>USD!$O$128+0.01</f>
        <v>360000.01</v>
      </c>
    </row>
    <row r="23" spans="1:21" ht="12">
      <c r="A23" s="76" t="s">
        <v>24</v>
      </c>
      <c r="D23" s="126"/>
      <c r="F23" s="158"/>
      <c r="J23" s="126"/>
      <c r="N23" s="81">
        <f>(B13+$N$6*$I$6)/USD!$Q$129</f>
        <v>27826.494736842105</v>
      </c>
      <c r="O23" s="81">
        <f>B13/USD!$P$129</f>
        <v>31480</v>
      </c>
      <c r="P23" s="81">
        <f>(D13+$N$6*$I$6)/USD!$Q$129</f>
        <v>46831.757894736846</v>
      </c>
      <c r="Q23" s="81">
        <f>D13/USD!$P$129</f>
        <v>55553.333333333336</v>
      </c>
      <c r="R23" s="81">
        <f>(F13+$N$6*$I$6)/USD!$Q$129</f>
        <v>39815.96842105263</v>
      </c>
      <c r="S23" s="81">
        <f>F13/USD!$P$129</f>
        <v>46666.666666666664</v>
      </c>
      <c r="T23" s="81">
        <f>(H13+$N$6*$I$6)/USD!$Q$129</f>
        <v>44395.96842105263</v>
      </c>
      <c r="U23" s="81">
        <f>H13/USD!$P$129</f>
        <v>52468</v>
      </c>
    </row>
    <row r="24" spans="1:18" ht="12">
      <c r="A24" s="76" t="s">
        <v>25</v>
      </c>
      <c r="O24" s="87"/>
      <c r="P24" s="88"/>
      <c r="Q24" s="89"/>
      <c r="R24" s="88"/>
    </row>
    <row r="25" spans="10:27" ht="12.75">
      <c r="J25" s="89"/>
      <c r="O25" s="24"/>
      <c r="P25" s="25"/>
      <c r="Q25" s="30"/>
      <c r="R25" s="175" t="str">
        <f>USD!R26</f>
        <v>Готовое</v>
      </c>
      <c r="S25" s="175" t="str">
        <f>USD!S26</f>
        <v>Стройка</v>
      </c>
      <c r="T25" s="175" t="str">
        <f>USD!T26</f>
        <v>Нецелевой</v>
      </c>
      <c r="U25" s="199" t="str">
        <f>USD!U26</f>
        <v>Рефинансирование</v>
      </c>
      <c r="V25" s="199"/>
      <c r="W25" s="199" t="str">
        <f>USD!W26</f>
        <v>Сотрудники</v>
      </c>
      <c r="X25" s="199"/>
      <c r="Y25" s="199" t="str">
        <f>USD!Y26</f>
        <v>УЖУ</v>
      </c>
      <c r="Z25" s="199"/>
      <c r="AA25" s="199"/>
    </row>
    <row r="26" spans="15:27" ht="12.75">
      <c r="O26" s="24"/>
      <c r="P26" s="25"/>
      <c r="Q26" s="30"/>
      <c r="R26" s="175"/>
      <c r="S26" s="175"/>
      <c r="T26" s="175"/>
      <c r="U26" s="175" t="str">
        <f>USD!U27</f>
        <v>Готовое</v>
      </c>
      <c r="V26" s="175" t="str">
        <f>USD!V27</f>
        <v>Нецелевой</v>
      </c>
      <c r="W26" s="175" t="str">
        <f>USD!W27</f>
        <v>Готовое</v>
      </c>
      <c r="X26" s="175" t="str">
        <f>USD!X27</f>
        <v>Стройка</v>
      </c>
      <c r="Y26" s="175" t="str">
        <f>USD!Y27</f>
        <v>Собств.</v>
      </c>
      <c r="Z26" s="175" t="str">
        <f>USD!Z27</f>
        <v>Собств.+Покуп.</v>
      </c>
      <c r="AA26" s="175" t="str">
        <f>USD!AA27</f>
        <v>Не продается</v>
      </c>
    </row>
    <row r="27" spans="15:27" ht="12">
      <c r="O27" s="87" t="str">
        <f>USD!O28</f>
        <v>Остальные регионы</v>
      </c>
      <c r="P27" s="88">
        <f>USD!P28</f>
        <v>100</v>
      </c>
      <c r="Q27" s="88">
        <f>USD!Q28</f>
        <v>85</v>
      </c>
      <c r="R27" s="176">
        <f>USD!R28</f>
        <v>0.85</v>
      </c>
      <c r="S27" s="176">
        <f>USD!S28</f>
        <v>0.85</v>
      </c>
      <c r="T27" s="176">
        <f>USD!T28</f>
        <v>0.7</v>
      </c>
      <c r="U27" s="176">
        <f>USD!U28</f>
        <v>0.85</v>
      </c>
      <c r="V27" s="176">
        <f>USD!V28</f>
        <v>0.7</v>
      </c>
      <c r="W27" s="176">
        <f>USD!W28</f>
        <v>0.85</v>
      </c>
      <c r="X27" s="176">
        <f>USD!X28</f>
        <v>0.95</v>
      </c>
      <c r="Y27" s="176">
        <f>USD!Y28</f>
        <v>1</v>
      </c>
      <c r="Z27" s="176">
        <f>USD!Z28</f>
        <v>0.9</v>
      </c>
      <c r="AA27" s="176">
        <f>USD!AA28</f>
        <v>0.85</v>
      </c>
    </row>
    <row r="28" spans="15:27" ht="12">
      <c r="O28" s="87" t="str">
        <f>USD!O29</f>
        <v>Архангельская область (не включая г. Архангельск)</v>
      </c>
      <c r="P28" s="88">
        <f>USD!P29</f>
        <v>100</v>
      </c>
      <c r="Q28" s="88">
        <f>USD!Q29</f>
        <v>85</v>
      </c>
      <c r="R28" s="176">
        <f>USD!R29</f>
        <v>0.85</v>
      </c>
      <c r="S28" s="176">
        <f>USD!S29</f>
        <v>0.85</v>
      </c>
      <c r="T28" s="176">
        <f>USD!T29</f>
        <v>0.7</v>
      </c>
      <c r="U28" s="176">
        <f>USD!U29</f>
        <v>0.85</v>
      </c>
      <c r="V28" s="176">
        <f>USD!V29</f>
        <v>0.7</v>
      </c>
      <c r="W28" s="176">
        <f>USD!W29</f>
        <v>0.85</v>
      </c>
      <c r="X28" s="176">
        <f>USD!X29</f>
        <v>0.95</v>
      </c>
      <c r="Y28" s="176">
        <f>USD!Y29</f>
        <v>1</v>
      </c>
      <c r="Z28" s="176">
        <f>USD!Z29</f>
        <v>0.9</v>
      </c>
      <c r="AA28" s="176">
        <f>USD!AA29</f>
        <v>0.85</v>
      </c>
    </row>
    <row r="29" spans="15:27" ht="12">
      <c r="O29" s="87" t="str">
        <f>USD!O30</f>
        <v>г. Архангельск</v>
      </c>
      <c r="P29" s="88">
        <f>USD!P30</f>
        <v>100</v>
      </c>
      <c r="Q29" s="88">
        <f>USD!Q30</f>
        <v>85</v>
      </c>
      <c r="R29" s="176">
        <f>USD!R30</f>
        <v>0.9</v>
      </c>
      <c r="S29" s="176">
        <f>USD!S30</f>
        <v>0.85</v>
      </c>
      <c r="T29" s="176">
        <f>USD!T30</f>
        <v>0.7</v>
      </c>
      <c r="U29" s="176">
        <f>USD!U30</f>
        <v>0.85</v>
      </c>
      <c r="V29" s="176">
        <f>USD!V30</f>
        <v>0.7</v>
      </c>
      <c r="W29" s="176">
        <f>USD!W30</f>
        <v>0.9</v>
      </c>
      <c r="X29" s="176">
        <f>USD!X30</f>
        <v>0.95</v>
      </c>
      <c r="Y29" s="176">
        <f>USD!Y30</f>
        <v>1</v>
      </c>
      <c r="Z29" s="176">
        <f>USD!Z30</f>
        <v>0.9</v>
      </c>
      <c r="AA29" s="176">
        <f>USD!AA30</f>
        <v>0.85</v>
      </c>
    </row>
    <row r="30" spans="15:27" ht="12">
      <c r="O30" s="87" t="str">
        <f>USD!O31</f>
        <v>Астраханская область (не включая г. Астрахань)</v>
      </c>
      <c r="P30" s="88">
        <f>USD!P31</f>
        <v>100</v>
      </c>
      <c r="Q30" s="88">
        <f>USD!Q31</f>
        <v>85</v>
      </c>
      <c r="R30" s="176">
        <f>USD!R31</f>
        <v>0.85</v>
      </c>
      <c r="S30" s="176">
        <f>USD!S31</f>
        <v>0.85</v>
      </c>
      <c r="T30" s="176">
        <f>USD!T31</f>
        <v>0.7</v>
      </c>
      <c r="U30" s="176">
        <f>USD!U31</f>
        <v>0.85</v>
      </c>
      <c r="V30" s="176">
        <f>USD!V31</f>
        <v>0.7</v>
      </c>
      <c r="W30" s="176">
        <f>USD!W31</f>
        <v>0.85</v>
      </c>
      <c r="X30" s="176">
        <f>USD!X31</f>
        <v>0.95</v>
      </c>
      <c r="Y30" s="176">
        <f>USD!Y31</f>
        <v>1</v>
      </c>
      <c r="Z30" s="176">
        <f>USD!Z31</f>
        <v>0.9</v>
      </c>
      <c r="AA30" s="176">
        <f>USD!AA31</f>
        <v>0.85</v>
      </c>
    </row>
    <row r="31" spans="15:27" ht="12">
      <c r="O31" s="87" t="str">
        <f>USD!O32</f>
        <v>г. Астрахань</v>
      </c>
      <c r="P31" s="88">
        <f>USD!P32</f>
        <v>100</v>
      </c>
      <c r="Q31" s="88">
        <f>USD!Q32</f>
        <v>85</v>
      </c>
      <c r="R31" s="176">
        <f>USD!R32</f>
        <v>0.9</v>
      </c>
      <c r="S31" s="176">
        <f>USD!S32</f>
        <v>0.85</v>
      </c>
      <c r="T31" s="176">
        <f>USD!T32</f>
        <v>0.7</v>
      </c>
      <c r="U31" s="176">
        <f>USD!U32</f>
        <v>0.85</v>
      </c>
      <c r="V31" s="176">
        <f>USD!V32</f>
        <v>0.7</v>
      </c>
      <c r="W31" s="176">
        <f>USD!W32</f>
        <v>0.9</v>
      </c>
      <c r="X31" s="176">
        <f>USD!X32</f>
        <v>0.95</v>
      </c>
      <c r="Y31" s="176">
        <f>USD!Y32</f>
        <v>1</v>
      </c>
      <c r="Z31" s="176">
        <f>USD!Z32</f>
        <v>0.9</v>
      </c>
      <c r="AA31" s="176">
        <f>USD!AA32</f>
        <v>0.85</v>
      </c>
    </row>
    <row r="32" spans="15:27" ht="12">
      <c r="O32" s="87" t="str">
        <f>USD!O33</f>
        <v>Алтайский край (не включая г. Барнаул)</v>
      </c>
      <c r="P32" s="88">
        <f>USD!P33</f>
        <v>100</v>
      </c>
      <c r="Q32" s="88">
        <f>USD!Q33</f>
        <v>85</v>
      </c>
      <c r="R32" s="176">
        <f>USD!R33</f>
        <v>0.85</v>
      </c>
      <c r="S32" s="176">
        <f>USD!S33</f>
        <v>0.85</v>
      </c>
      <c r="T32" s="176">
        <f>USD!T33</f>
        <v>0.7</v>
      </c>
      <c r="U32" s="176">
        <f>USD!U33</f>
        <v>0.85</v>
      </c>
      <c r="V32" s="176">
        <f>USD!V33</f>
        <v>0.7</v>
      </c>
      <c r="W32" s="176">
        <f>USD!W33</f>
        <v>0.85</v>
      </c>
      <c r="X32" s="176">
        <f>USD!X33</f>
        <v>0.95</v>
      </c>
      <c r="Y32" s="176">
        <f>USD!Y33</f>
        <v>1</v>
      </c>
      <c r="Z32" s="176">
        <f>USD!Z33</f>
        <v>0.9</v>
      </c>
      <c r="AA32" s="176">
        <f>USD!AA33</f>
        <v>0.85</v>
      </c>
    </row>
    <row r="33" spans="15:27" ht="12">
      <c r="O33" s="87" t="str">
        <f>USD!O34</f>
        <v>г. Барнаул</v>
      </c>
      <c r="P33" s="88">
        <f>USD!P34</f>
        <v>100</v>
      </c>
      <c r="Q33" s="88">
        <f>USD!Q34</f>
        <v>85</v>
      </c>
      <c r="R33" s="176">
        <f>USD!R34</f>
        <v>0.9</v>
      </c>
      <c r="S33" s="176">
        <f>USD!S34</f>
        <v>0.85</v>
      </c>
      <c r="T33" s="176">
        <f>USD!T34</f>
        <v>0.7</v>
      </c>
      <c r="U33" s="176">
        <f>USD!U34</f>
        <v>0.85</v>
      </c>
      <c r="V33" s="176">
        <f>USD!V34</f>
        <v>0.7</v>
      </c>
      <c r="W33" s="176">
        <f>USD!W34</f>
        <v>0.9</v>
      </c>
      <c r="X33" s="176">
        <f>USD!X34</f>
        <v>0.95</v>
      </c>
      <c r="Y33" s="176">
        <f>USD!Y34</f>
        <v>1</v>
      </c>
      <c r="Z33" s="176">
        <f>USD!Z34</f>
        <v>0.9</v>
      </c>
      <c r="AA33" s="176">
        <f>USD!AA34</f>
        <v>0.85</v>
      </c>
    </row>
    <row r="34" spans="15:27" ht="12">
      <c r="O34" s="87" t="str">
        <f>USD!O35</f>
        <v>Белгородская область (не включая г. Белгород)</v>
      </c>
      <c r="P34" s="88">
        <f>USD!P35</f>
        <v>100</v>
      </c>
      <c r="Q34" s="88">
        <f>USD!Q35</f>
        <v>85</v>
      </c>
      <c r="R34" s="176">
        <f>USD!R35</f>
        <v>0.85</v>
      </c>
      <c r="S34" s="176">
        <f>USD!S35</f>
        <v>0.85</v>
      </c>
      <c r="T34" s="176">
        <f>USD!T35</f>
        <v>0.7</v>
      </c>
      <c r="U34" s="176">
        <f>USD!U35</f>
        <v>0.85</v>
      </c>
      <c r="V34" s="176">
        <f>USD!V35</f>
        <v>0.7</v>
      </c>
      <c r="W34" s="176">
        <f>USD!W35</f>
        <v>0.85</v>
      </c>
      <c r="X34" s="176">
        <f>USD!X35</f>
        <v>0.95</v>
      </c>
      <c r="Y34" s="176">
        <f>USD!Y35</f>
        <v>1</v>
      </c>
      <c r="Z34" s="176">
        <f>USD!Z35</f>
        <v>0.9</v>
      </c>
      <c r="AA34" s="176">
        <f>USD!AA35</f>
        <v>0.85</v>
      </c>
    </row>
    <row r="35" spans="15:27" ht="11.25">
      <c r="O35" s="87" t="str">
        <f>USD!O36</f>
        <v>г. Белгород</v>
      </c>
      <c r="P35" s="88">
        <f>USD!P36</f>
        <v>100</v>
      </c>
      <c r="Q35" s="88">
        <f>USD!Q36</f>
        <v>85</v>
      </c>
      <c r="R35" s="176">
        <f>USD!R36</f>
        <v>0.9</v>
      </c>
      <c r="S35" s="176">
        <f>USD!S36</f>
        <v>0.85</v>
      </c>
      <c r="T35" s="176">
        <f>USD!T36</f>
        <v>0.7</v>
      </c>
      <c r="U35" s="176">
        <f>USD!U36</f>
        <v>0.85</v>
      </c>
      <c r="V35" s="176">
        <f>USD!V36</f>
        <v>0.7</v>
      </c>
      <c r="W35" s="176">
        <f>USD!W36</f>
        <v>0.9</v>
      </c>
      <c r="X35" s="176">
        <f>USD!X36</f>
        <v>0.95</v>
      </c>
      <c r="Y35" s="176">
        <f>USD!Y36</f>
        <v>1</v>
      </c>
      <c r="Z35" s="176">
        <f>USD!Z36</f>
        <v>0.9</v>
      </c>
      <c r="AA35" s="176">
        <f>USD!AA36</f>
        <v>0.85</v>
      </c>
    </row>
    <row r="36" spans="15:27" ht="11.25">
      <c r="O36" s="87" t="str">
        <f>USD!O37</f>
        <v>Владимирская область (не включая г. Владимир)</v>
      </c>
      <c r="P36" s="88">
        <f>USD!P37</f>
        <v>100</v>
      </c>
      <c r="Q36" s="88">
        <f>USD!Q37</f>
        <v>85</v>
      </c>
      <c r="R36" s="176">
        <f>USD!R37</f>
        <v>0.85</v>
      </c>
      <c r="S36" s="176">
        <f>USD!S37</f>
        <v>0.85</v>
      </c>
      <c r="T36" s="176">
        <f>USD!T37</f>
        <v>0.7</v>
      </c>
      <c r="U36" s="176">
        <f>USD!U37</f>
        <v>0.85</v>
      </c>
      <c r="V36" s="176">
        <f>USD!V37</f>
        <v>0.7</v>
      </c>
      <c r="W36" s="176">
        <f>USD!W37</f>
        <v>0.85</v>
      </c>
      <c r="X36" s="176">
        <f>USD!X37</f>
        <v>0.95</v>
      </c>
      <c r="Y36" s="176">
        <f>USD!Y37</f>
        <v>1</v>
      </c>
      <c r="Z36" s="176">
        <f>USD!Z37</f>
        <v>0.9</v>
      </c>
      <c r="AA36" s="176">
        <f>USD!AA37</f>
        <v>0.85</v>
      </c>
    </row>
    <row r="37" spans="15:27" ht="11.25">
      <c r="O37" s="87" t="str">
        <f>USD!O38</f>
        <v>г. Владимир</v>
      </c>
      <c r="P37" s="88">
        <f>USD!P38</f>
        <v>100</v>
      </c>
      <c r="Q37" s="88">
        <f>USD!Q38</f>
        <v>85</v>
      </c>
      <c r="R37" s="176">
        <f>USD!R38</f>
        <v>0.9</v>
      </c>
      <c r="S37" s="176">
        <f>USD!S38</f>
        <v>0.85</v>
      </c>
      <c r="T37" s="176">
        <f>USD!T38</f>
        <v>0.7</v>
      </c>
      <c r="U37" s="176">
        <f>USD!U38</f>
        <v>0.85</v>
      </c>
      <c r="V37" s="176">
        <f>USD!V38</f>
        <v>0.7</v>
      </c>
      <c r="W37" s="176">
        <f>USD!W38</f>
        <v>0.9</v>
      </c>
      <c r="X37" s="176">
        <f>USD!X38</f>
        <v>0.95</v>
      </c>
      <c r="Y37" s="176">
        <f>USD!Y38</f>
        <v>1</v>
      </c>
      <c r="Z37" s="176">
        <f>USD!Z38</f>
        <v>0.9</v>
      </c>
      <c r="AA37" s="176">
        <f>USD!AA38</f>
        <v>0.85</v>
      </c>
    </row>
    <row r="38" spans="15:27" ht="11.25">
      <c r="O38" s="87" t="str">
        <f>USD!O39</f>
        <v>Волгоградская область (не включая г. Волгоград)</v>
      </c>
      <c r="P38" s="88">
        <f>USD!P39</f>
        <v>100</v>
      </c>
      <c r="Q38" s="88">
        <f>USD!Q39</f>
        <v>85</v>
      </c>
      <c r="R38" s="176">
        <f>USD!R39</f>
        <v>0.85</v>
      </c>
      <c r="S38" s="176">
        <f>USD!S39</f>
        <v>0.85</v>
      </c>
      <c r="T38" s="176">
        <f>USD!T39</f>
        <v>0.7</v>
      </c>
      <c r="U38" s="176">
        <f>USD!U39</f>
        <v>0.85</v>
      </c>
      <c r="V38" s="176">
        <f>USD!V39</f>
        <v>0.7</v>
      </c>
      <c r="W38" s="176">
        <f>USD!W39</f>
        <v>0.85</v>
      </c>
      <c r="X38" s="176">
        <f>USD!X39</f>
        <v>0.95</v>
      </c>
      <c r="Y38" s="176">
        <f>USD!Y39</f>
        <v>1</v>
      </c>
      <c r="Z38" s="176">
        <f>USD!Z39</f>
        <v>0.9</v>
      </c>
      <c r="AA38" s="176">
        <f>USD!AA39</f>
        <v>0.85</v>
      </c>
    </row>
    <row r="39" spans="15:27" ht="11.25">
      <c r="O39" s="87" t="str">
        <f>USD!O40</f>
        <v>г. Волгоград</v>
      </c>
      <c r="P39" s="88">
        <f>USD!P40</f>
        <v>100</v>
      </c>
      <c r="Q39" s="88">
        <f>USD!Q40</f>
        <v>85</v>
      </c>
      <c r="R39" s="176">
        <f>USD!R40</f>
        <v>0.9</v>
      </c>
      <c r="S39" s="176">
        <f>USD!S40</f>
        <v>0.85</v>
      </c>
      <c r="T39" s="176">
        <f>USD!T40</f>
        <v>0.7</v>
      </c>
      <c r="U39" s="176">
        <f>USD!U40</f>
        <v>0.85</v>
      </c>
      <c r="V39" s="176">
        <f>USD!V40</f>
        <v>0.7</v>
      </c>
      <c r="W39" s="176">
        <f>USD!W40</f>
        <v>0.9</v>
      </c>
      <c r="X39" s="176">
        <f>USD!X40</f>
        <v>0.95</v>
      </c>
      <c r="Y39" s="176">
        <f>USD!Y40</f>
        <v>1</v>
      </c>
      <c r="Z39" s="176">
        <f>USD!Z40</f>
        <v>0.9</v>
      </c>
      <c r="AA39" s="176">
        <f>USD!AA40</f>
        <v>0.85</v>
      </c>
    </row>
    <row r="40" spans="15:27" ht="11.25">
      <c r="O40" s="87" t="str">
        <f>USD!O41</f>
        <v>г. Вологда</v>
      </c>
      <c r="P40" s="88">
        <f>USD!P41</f>
        <v>120</v>
      </c>
      <c r="Q40" s="88">
        <f>USD!Q41</f>
        <v>100</v>
      </c>
      <c r="R40" s="176">
        <f>USD!R41</f>
        <v>0.9</v>
      </c>
      <c r="S40" s="176">
        <f>USD!S41</f>
        <v>0.85</v>
      </c>
      <c r="T40" s="176">
        <f>USD!T41</f>
        <v>0.7</v>
      </c>
      <c r="U40" s="176">
        <f>USD!U41</f>
        <v>0.85</v>
      </c>
      <c r="V40" s="176">
        <f>USD!V41</f>
        <v>0.7</v>
      </c>
      <c r="W40" s="176">
        <f>USD!W41</f>
        <v>0.9</v>
      </c>
      <c r="X40" s="176">
        <f>USD!X41</f>
        <v>0.95</v>
      </c>
      <c r="Y40" s="176">
        <f>USD!Y41</f>
        <v>1</v>
      </c>
      <c r="Z40" s="176">
        <f>USD!Z41</f>
        <v>0.9</v>
      </c>
      <c r="AA40" s="176">
        <f>USD!AA41</f>
        <v>0.85</v>
      </c>
    </row>
    <row r="41" spans="15:27" ht="11.25">
      <c r="O41" s="87" t="str">
        <f>USD!O42</f>
        <v>Воронежская область (включая г. Воронеж)</v>
      </c>
      <c r="P41" s="88">
        <f>USD!P42</f>
        <v>100</v>
      </c>
      <c r="Q41" s="88">
        <f>USD!Q42</f>
        <v>85</v>
      </c>
      <c r="R41" s="176">
        <f>USD!R42</f>
        <v>0.85</v>
      </c>
      <c r="S41" s="176">
        <f>USD!S42</f>
        <v>0.85</v>
      </c>
      <c r="T41" s="176">
        <f>USD!T42</f>
        <v>0.7</v>
      </c>
      <c r="U41" s="176">
        <f>USD!U42</f>
        <v>0.85</v>
      </c>
      <c r="V41" s="176">
        <f>USD!V42</f>
        <v>0.7</v>
      </c>
      <c r="W41" s="176">
        <f>USD!W42</f>
        <v>0.85</v>
      </c>
      <c r="X41" s="176">
        <f>USD!X42</f>
        <v>0.95</v>
      </c>
      <c r="Y41" s="176">
        <f>USD!Y42</f>
        <v>1</v>
      </c>
      <c r="Z41" s="176">
        <f>USD!Z42</f>
        <v>0.9</v>
      </c>
      <c r="AA41" s="176">
        <f>USD!AA42</f>
        <v>0.85</v>
      </c>
    </row>
    <row r="42" spans="15:27" ht="11.25">
      <c r="O42" s="87" t="str">
        <f>USD!O43</f>
        <v>Иркутская область (не включая г. Иркутск и г. Ангарск)</v>
      </c>
      <c r="P42" s="88">
        <f>USD!P43</f>
        <v>120</v>
      </c>
      <c r="Q42" s="88">
        <f>USD!Q43</f>
        <v>100</v>
      </c>
      <c r="R42" s="176">
        <f>USD!R43</f>
        <v>0.85</v>
      </c>
      <c r="S42" s="176">
        <f>USD!S43</f>
        <v>0.85</v>
      </c>
      <c r="T42" s="176">
        <f>USD!T43</f>
        <v>0.7</v>
      </c>
      <c r="U42" s="176">
        <f>USD!U43</f>
        <v>0.85</v>
      </c>
      <c r="V42" s="176">
        <f>USD!V43</f>
        <v>0.7</v>
      </c>
      <c r="W42" s="176">
        <f>USD!W43</f>
        <v>0.85</v>
      </c>
      <c r="X42" s="176">
        <f>USD!X43</f>
        <v>0.95</v>
      </c>
      <c r="Y42" s="176">
        <f>USD!Y43</f>
        <v>1</v>
      </c>
      <c r="Z42" s="176">
        <f>USD!Z43</f>
        <v>0.9</v>
      </c>
      <c r="AA42" s="176">
        <f>USD!AA43</f>
        <v>0.85</v>
      </c>
    </row>
    <row r="43" spans="15:27" ht="11.25">
      <c r="O43" s="87" t="str">
        <f>USD!O44</f>
        <v>г. Иркутск</v>
      </c>
      <c r="P43" s="88">
        <f>USD!P44</f>
        <v>120</v>
      </c>
      <c r="Q43" s="88">
        <f>USD!Q44</f>
        <v>100</v>
      </c>
      <c r="R43" s="176">
        <f>USD!R44</f>
        <v>0.9</v>
      </c>
      <c r="S43" s="176">
        <f>USD!S44</f>
        <v>0.85</v>
      </c>
      <c r="T43" s="176">
        <f>USD!T44</f>
        <v>0.7</v>
      </c>
      <c r="U43" s="176">
        <f>USD!U44</f>
        <v>0.85</v>
      </c>
      <c r="V43" s="176">
        <f>USD!V44</f>
        <v>0.7</v>
      </c>
      <c r="W43" s="176">
        <f>USD!W44</f>
        <v>0.9</v>
      </c>
      <c r="X43" s="176">
        <f>USD!X44</f>
        <v>0.95</v>
      </c>
      <c r="Y43" s="176">
        <f>USD!Y44</f>
        <v>1</v>
      </c>
      <c r="Z43" s="176">
        <f>USD!Z44</f>
        <v>0.9</v>
      </c>
      <c r="AA43" s="176">
        <f>USD!AA44</f>
        <v>0.85</v>
      </c>
    </row>
    <row r="44" spans="15:27" ht="11.25">
      <c r="O44" s="87" t="str">
        <f>USD!O45</f>
        <v>г. Ангарск</v>
      </c>
      <c r="P44" s="88">
        <f>USD!P45</f>
        <v>120</v>
      </c>
      <c r="Q44" s="88">
        <f>USD!Q45</f>
        <v>100</v>
      </c>
      <c r="R44" s="176">
        <f>USD!R45</f>
        <v>0.9</v>
      </c>
      <c r="S44" s="176">
        <f>USD!S45</f>
        <v>0.85</v>
      </c>
      <c r="T44" s="176">
        <f>USD!T45</f>
        <v>0.7</v>
      </c>
      <c r="U44" s="176">
        <f>USD!U45</f>
        <v>0.85</v>
      </c>
      <c r="V44" s="176">
        <f>USD!V45</f>
        <v>0.7</v>
      </c>
      <c r="W44" s="176">
        <f>USD!W45</f>
        <v>0.9</v>
      </c>
      <c r="X44" s="176">
        <f>USD!X45</f>
        <v>0.95</v>
      </c>
      <c r="Y44" s="176">
        <f>USD!Y45</f>
        <v>1</v>
      </c>
      <c r="Z44" s="176">
        <f>USD!Z45</f>
        <v>0.9</v>
      </c>
      <c r="AA44" s="176">
        <f>USD!AA45</f>
        <v>0.85</v>
      </c>
    </row>
    <row r="45" spans="15:27" ht="11.25">
      <c r="O45" s="87" t="str">
        <f>USD!O46</f>
        <v>Калининградская область (не включая г. Калининград)</v>
      </c>
      <c r="P45" s="88">
        <f>USD!P46</f>
        <v>100</v>
      </c>
      <c r="Q45" s="88">
        <f>USD!Q46</f>
        <v>85</v>
      </c>
      <c r="R45" s="176">
        <f>USD!R46</f>
        <v>0.85</v>
      </c>
      <c r="S45" s="176">
        <f>USD!S46</f>
        <v>0.85</v>
      </c>
      <c r="T45" s="176">
        <f>USD!T46</f>
        <v>0.7</v>
      </c>
      <c r="U45" s="176">
        <f>USD!U46</f>
        <v>0.85</v>
      </c>
      <c r="V45" s="176">
        <f>USD!V46</f>
        <v>0.7</v>
      </c>
      <c r="W45" s="176">
        <f>USD!W46</f>
        <v>0.85</v>
      </c>
      <c r="X45" s="176">
        <f>USD!X46</f>
        <v>0.95</v>
      </c>
      <c r="Y45" s="176">
        <f>USD!Y46</f>
        <v>1</v>
      </c>
      <c r="Z45" s="176">
        <f>USD!Z46</f>
        <v>0.9</v>
      </c>
      <c r="AA45" s="176">
        <f>USD!AA46</f>
        <v>0.85</v>
      </c>
    </row>
    <row r="46" spans="15:27" ht="11.25">
      <c r="O46" s="87" t="str">
        <f>USD!O47</f>
        <v>г. Калининград</v>
      </c>
      <c r="P46" s="88">
        <f>USD!P47</f>
        <v>100</v>
      </c>
      <c r="Q46" s="88">
        <f>USD!Q47</f>
        <v>85</v>
      </c>
      <c r="R46" s="176">
        <f>USD!R47</f>
        <v>0.9</v>
      </c>
      <c r="S46" s="176">
        <f>USD!S47</f>
        <v>0.85</v>
      </c>
      <c r="T46" s="176">
        <f>USD!T47</f>
        <v>0.7</v>
      </c>
      <c r="U46" s="176">
        <f>USD!U47</f>
        <v>0.85</v>
      </c>
      <c r="V46" s="176">
        <f>USD!V47</f>
        <v>0.7</v>
      </c>
      <c r="W46" s="176">
        <f>USD!W47</f>
        <v>0.9</v>
      </c>
      <c r="X46" s="176">
        <f>USD!X47</f>
        <v>0.95</v>
      </c>
      <c r="Y46" s="176">
        <f>USD!Y47</f>
        <v>1</v>
      </c>
      <c r="Z46" s="176">
        <f>USD!Z47</f>
        <v>0.9</v>
      </c>
      <c r="AA46" s="176">
        <f>USD!AA47</f>
        <v>0.85</v>
      </c>
    </row>
    <row r="47" spans="15:27" ht="11.25">
      <c r="O47" s="87" t="str">
        <f>USD!O48</f>
        <v>Кемеровская область (не включая г. Кемерово)</v>
      </c>
      <c r="P47" s="88">
        <f>USD!P48</f>
        <v>100</v>
      </c>
      <c r="Q47" s="88">
        <f>USD!Q48</f>
        <v>85</v>
      </c>
      <c r="R47" s="176">
        <f>USD!R48</f>
        <v>0.85</v>
      </c>
      <c r="S47" s="176">
        <f>USD!S48</f>
        <v>0.85</v>
      </c>
      <c r="T47" s="176">
        <f>USD!T48</f>
        <v>0.7</v>
      </c>
      <c r="U47" s="176">
        <f>USD!U48</f>
        <v>0.85</v>
      </c>
      <c r="V47" s="176">
        <f>USD!V48</f>
        <v>0.7</v>
      </c>
      <c r="W47" s="176">
        <f>USD!W48</f>
        <v>0.85</v>
      </c>
      <c r="X47" s="176">
        <f>USD!X48</f>
        <v>0.95</v>
      </c>
      <c r="Y47" s="176">
        <f>USD!Y48</f>
        <v>1</v>
      </c>
      <c r="Z47" s="176">
        <f>USD!Z48</f>
        <v>0.9</v>
      </c>
      <c r="AA47" s="176">
        <f>USD!AA48</f>
        <v>0.85</v>
      </c>
    </row>
    <row r="48" spans="15:27" ht="11.25">
      <c r="O48" s="87" t="str">
        <f>USD!O49</f>
        <v>г. Кемерово</v>
      </c>
      <c r="P48" s="88">
        <f>USD!P49</f>
        <v>100</v>
      </c>
      <c r="Q48" s="88">
        <f>USD!Q49</f>
        <v>85</v>
      </c>
      <c r="R48" s="176">
        <f>USD!R49</f>
        <v>0.9</v>
      </c>
      <c r="S48" s="176">
        <f>USD!S49</f>
        <v>0.85</v>
      </c>
      <c r="T48" s="176">
        <f>USD!T49</f>
        <v>0.7</v>
      </c>
      <c r="U48" s="176">
        <f>USD!U49</f>
        <v>0.85</v>
      </c>
      <c r="V48" s="176">
        <f>USD!V49</f>
        <v>0.7</v>
      </c>
      <c r="W48" s="176">
        <f>USD!W49</f>
        <v>0.9</v>
      </c>
      <c r="X48" s="176">
        <f>USD!X49</f>
        <v>0.95</v>
      </c>
      <c r="Y48" s="176">
        <f>USD!Y49</f>
        <v>1</v>
      </c>
      <c r="Z48" s="176">
        <f>USD!Z49</f>
        <v>0.9</v>
      </c>
      <c r="AA48" s="176">
        <f>USD!AA49</f>
        <v>0.85</v>
      </c>
    </row>
    <row r="49" spans="15:27" ht="11.25">
      <c r="O49" s="87" t="str">
        <f>USD!O50</f>
        <v>Костромская область (не включая г. Кострома)</v>
      </c>
      <c r="P49" s="88">
        <f>USD!P50</f>
        <v>100</v>
      </c>
      <c r="Q49" s="88">
        <f>USD!Q50</f>
        <v>85</v>
      </c>
      <c r="R49" s="176">
        <f>USD!R50</f>
        <v>0.85</v>
      </c>
      <c r="S49" s="176">
        <f>USD!S50</f>
        <v>0.85</v>
      </c>
      <c r="T49" s="176">
        <f>USD!T50</f>
        <v>0.7</v>
      </c>
      <c r="U49" s="176">
        <f>USD!U50</f>
        <v>0.85</v>
      </c>
      <c r="V49" s="176">
        <f>USD!V50</f>
        <v>0.7</v>
      </c>
      <c r="W49" s="176">
        <f>USD!W50</f>
        <v>0.85</v>
      </c>
      <c r="X49" s="176">
        <f>USD!X50</f>
        <v>0.95</v>
      </c>
      <c r="Y49" s="176">
        <f>USD!Y50</f>
        <v>1</v>
      </c>
      <c r="Z49" s="176">
        <f>USD!Z50</f>
        <v>0.9</v>
      </c>
      <c r="AA49" s="176">
        <f>USD!AA50</f>
        <v>0.85</v>
      </c>
    </row>
    <row r="50" spans="15:27" ht="11.25">
      <c r="O50" s="87" t="str">
        <f>USD!O51</f>
        <v>г. Кострома</v>
      </c>
      <c r="P50" s="88">
        <f>USD!P51</f>
        <v>100</v>
      </c>
      <c r="Q50" s="88">
        <f>USD!Q51</f>
        <v>85</v>
      </c>
      <c r="R50" s="176">
        <f>USD!R51</f>
        <v>0.9</v>
      </c>
      <c r="S50" s="176">
        <f>USD!S51</f>
        <v>0.85</v>
      </c>
      <c r="T50" s="176">
        <f>USD!T51</f>
        <v>0.7</v>
      </c>
      <c r="U50" s="176">
        <f>USD!U51</f>
        <v>0.85</v>
      </c>
      <c r="V50" s="176">
        <f>USD!V51</f>
        <v>0.7</v>
      </c>
      <c r="W50" s="176">
        <f>USD!W51</f>
        <v>0.9</v>
      </c>
      <c r="X50" s="176">
        <f>USD!X51</f>
        <v>0.95</v>
      </c>
      <c r="Y50" s="176">
        <f>USD!Y51</f>
        <v>1</v>
      </c>
      <c r="Z50" s="176">
        <f>USD!Z51</f>
        <v>0.9</v>
      </c>
      <c r="AA50" s="176">
        <f>USD!AA51</f>
        <v>0.85</v>
      </c>
    </row>
    <row r="51" spans="15:27" ht="11.25">
      <c r="O51" s="87" t="str">
        <f>USD!O52</f>
        <v>Краснодарский край (не включая г. Краснодар и г. Сочи)</v>
      </c>
      <c r="P51" s="88">
        <f>USD!P52</f>
        <v>100</v>
      </c>
      <c r="Q51" s="88">
        <f>USD!Q52</f>
        <v>85</v>
      </c>
      <c r="R51" s="176">
        <f>USD!R52</f>
        <v>0.85</v>
      </c>
      <c r="S51" s="176">
        <f>USD!S52</f>
        <v>0.85</v>
      </c>
      <c r="T51" s="176">
        <f>USD!T52</f>
        <v>0.7</v>
      </c>
      <c r="U51" s="176">
        <f>USD!U52</f>
        <v>0.85</v>
      </c>
      <c r="V51" s="176">
        <f>USD!V52</f>
        <v>0.7</v>
      </c>
      <c r="W51" s="176">
        <f>USD!W52</f>
        <v>0.85</v>
      </c>
      <c r="X51" s="176">
        <f>USD!X52</f>
        <v>0.95</v>
      </c>
      <c r="Y51" s="176">
        <f>USD!Y52</f>
        <v>1</v>
      </c>
      <c r="Z51" s="176">
        <f>USD!Z52</f>
        <v>0.9</v>
      </c>
      <c r="AA51" s="176">
        <f>USD!AA52</f>
        <v>0.85</v>
      </c>
    </row>
    <row r="52" spans="15:27" ht="11.25">
      <c r="O52" s="87" t="str">
        <f>USD!O53</f>
        <v>г. Краснодар</v>
      </c>
      <c r="P52" s="88">
        <f>USD!P53</f>
        <v>100</v>
      </c>
      <c r="Q52" s="88">
        <f>USD!Q53</f>
        <v>85</v>
      </c>
      <c r="R52" s="176">
        <f>USD!R53</f>
        <v>0.9</v>
      </c>
      <c r="S52" s="176">
        <f>USD!S53</f>
        <v>0.85</v>
      </c>
      <c r="T52" s="176">
        <f>USD!T53</f>
        <v>0.7</v>
      </c>
      <c r="U52" s="176">
        <f>USD!U53</f>
        <v>0.85</v>
      </c>
      <c r="V52" s="176">
        <f>USD!V53</f>
        <v>0.7</v>
      </c>
      <c r="W52" s="176">
        <f>USD!W53</f>
        <v>0.9</v>
      </c>
      <c r="X52" s="176">
        <f>USD!X53</f>
        <v>0.95</v>
      </c>
      <c r="Y52" s="176">
        <f>USD!Y53</f>
        <v>1</v>
      </c>
      <c r="Z52" s="176">
        <f>USD!Z53</f>
        <v>0.9</v>
      </c>
      <c r="AA52" s="176">
        <f>USD!AA53</f>
        <v>0.85</v>
      </c>
    </row>
    <row r="53" spans="15:27" ht="11.25">
      <c r="O53" s="87" t="str">
        <f>USD!O54</f>
        <v>г. Сочи</v>
      </c>
      <c r="P53" s="88">
        <f>USD!P54</f>
        <v>100</v>
      </c>
      <c r="Q53" s="88">
        <f>USD!Q54</f>
        <v>85</v>
      </c>
      <c r="R53" s="176">
        <f>USD!R54</f>
        <v>0.9</v>
      </c>
      <c r="S53" s="176">
        <f>USD!S54</f>
        <v>0.85</v>
      </c>
      <c r="T53" s="176">
        <f>USD!T54</f>
        <v>0.7</v>
      </c>
      <c r="U53" s="176">
        <f>USD!U54</f>
        <v>0.85</v>
      </c>
      <c r="V53" s="176">
        <f>USD!V54</f>
        <v>0.7</v>
      </c>
      <c r="W53" s="176">
        <f>USD!W54</f>
        <v>0.9</v>
      </c>
      <c r="X53" s="176">
        <f>USD!X54</f>
        <v>0.95</v>
      </c>
      <c r="Y53" s="176">
        <f>USD!Y54</f>
        <v>1</v>
      </c>
      <c r="Z53" s="176">
        <f>USD!Z54</f>
        <v>0.9</v>
      </c>
      <c r="AA53" s="176">
        <f>USD!AA54</f>
        <v>0.85</v>
      </c>
    </row>
    <row r="54" spans="15:27" ht="11.25">
      <c r="O54" s="87" t="str">
        <f>USD!O55</f>
        <v>Красноярский край (не включая г. Красноярск)</v>
      </c>
      <c r="P54" s="88">
        <f>USD!P55</f>
        <v>100</v>
      </c>
      <c r="Q54" s="88">
        <f>USD!Q55</f>
        <v>85</v>
      </c>
      <c r="R54" s="176">
        <f>USD!R55</f>
        <v>0.85</v>
      </c>
      <c r="S54" s="176">
        <f>USD!S55</f>
        <v>0.85</v>
      </c>
      <c r="T54" s="176">
        <f>USD!T55</f>
        <v>0.7</v>
      </c>
      <c r="U54" s="176">
        <f>USD!U55</f>
        <v>0.85</v>
      </c>
      <c r="V54" s="176">
        <f>USD!V55</f>
        <v>0.7</v>
      </c>
      <c r="W54" s="176">
        <f>USD!W55</f>
        <v>0.85</v>
      </c>
      <c r="X54" s="176">
        <f>USD!X55</f>
        <v>0.95</v>
      </c>
      <c r="Y54" s="176">
        <f>USD!Y55</f>
        <v>1</v>
      </c>
      <c r="Z54" s="176">
        <f>USD!Z55</f>
        <v>0.9</v>
      </c>
      <c r="AA54" s="176">
        <f>USD!AA55</f>
        <v>0.85</v>
      </c>
    </row>
    <row r="55" spans="15:27" ht="11.25">
      <c r="O55" s="87" t="str">
        <f>USD!O56</f>
        <v>г. Красноярск</v>
      </c>
      <c r="P55" s="88">
        <f>USD!P56</f>
        <v>100</v>
      </c>
      <c r="Q55" s="88">
        <f>USD!Q56</f>
        <v>85</v>
      </c>
      <c r="R55" s="176">
        <f>USD!R56</f>
        <v>1</v>
      </c>
      <c r="S55" s="176">
        <f>USD!S56</f>
        <v>0.95</v>
      </c>
      <c r="T55" s="176">
        <f>USD!T56</f>
        <v>0.9</v>
      </c>
      <c r="U55" s="176">
        <f>USD!U56</f>
        <v>0.95</v>
      </c>
      <c r="V55" s="176">
        <f>USD!V56</f>
        <v>0.95</v>
      </c>
      <c r="W55" s="176">
        <f>USD!W56</f>
        <v>1</v>
      </c>
      <c r="X55" s="176">
        <f>USD!X56</f>
        <v>0.95</v>
      </c>
      <c r="Y55" s="176">
        <f>USD!Y56</f>
        <v>1</v>
      </c>
      <c r="Z55" s="176">
        <f>USD!Z56</f>
        <v>0.9</v>
      </c>
      <c r="AA55" s="176">
        <f>USD!AA56</f>
        <v>0.85</v>
      </c>
    </row>
    <row r="56" spans="15:27" ht="11.25">
      <c r="O56" s="87" t="str">
        <f>USD!O57</f>
        <v>Курская область (не включая г. Курск)</v>
      </c>
      <c r="P56" s="88">
        <f>USD!P57</f>
        <v>100</v>
      </c>
      <c r="Q56" s="88">
        <f>USD!Q57</f>
        <v>85</v>
      </c>
      <c r="R56" s="176">
        <f>USD!R57</f>
        <v>0.85</v>
      </c>
      <c r="S56" s="176">
        <f>USD!S57</f>
        <v>0.85</v>
      </c>
      <c r="T56" s="176">
        <f>USD!T57</f>
        <v>0.7</v>
      </c>
      <c r="U56" s="176">
        <f>USD!U57</f>
        <v>0.85</v>
      </c>
      <c r="V56" s="176">
        <f>USD!V57</f>
        <v>0.7</v>
      </c>
      <c r="W56" s="176">
        <f>USD!W57</f>
        <v>0.85</v>
      </c>
      <c r="X56" s="176">
        <f>USD!X57</f>
        <v>0.95</v>
      </c>
      <c r="Y56" s="176">
        <f>USD!Y57</f>
        <v>1</v>
      </c>
      <c r="Z56" s="176">
        <f>USD!Z57</f>
        <v>0.9</v>
      </c>
      <c r="AA56" s="176">
        <f>USD!AA57</f>
        <v>0.85</v>
      </c>
    </row>
    <row r="57" spans="15:27" ht="11.25">
      <c r="O57" s="87" t="str">
        <f>USD!O58</f>
        <v>г. Курск</v>
      </c>
      <c r="P57" s="88">
        <f>USD!P58</f>
        <v>100</v>
      </c>
      <c r="Q57" s="88">
        <f>USD!Q58</f>
        <v>85</v>
      </c>
      <c r="R57" s="176">
        <f>USD!R58</f>
        <v>0.9</v>
      </c>
      <c r="S57" s="176">
        <f>USD!S58</f>
        <v>0.85</v>
      </c>
      <c r="T57" s="176">
        <f>USD!T58</f>
        <v>0.7</v>
      </c>
      <c r="U57" s="176">
        <f>USD!U58</f>
        <v>0.85</v>
      </c>
      <c r="V57" s="176">
        <f>USD!V58</f>
        <v>0.7</v>
      </c>
      <c r="W57" s="176">
        <f>USD!W58</f>
        <v>0.9</v>
      </c>
      <c r="X57" s="176">
        <f>USD!X58</f>
        <v>0.95</v>
      </c>
      <c r="Y57" s="176">
        <f>USD!Y58</f>
        <v>1</v>
      </c>
      <c r="Z57" s="176">
        <f>USD!Z58</f>
        <v>0.9</v>
      </c>
      <c r="AA57" s="176">
        <f>USD!AA58</f>
        <v>0.85</v>
      </c>
    </row>
    <row r="58" spans="15:27" ht="11.25">
      <c r="O58" s="87" t="str">
        <f>USD!O59</f>
        <v>Ленинградская область (включая г. Санкт-Петербург)</v>
      </c>
      <c r="P58" s="88">
        <f>USD!P59</f>
        <v>120</v>
      </c>
      <c r="Q58" s="88">
        <f>USD!Q59</f>
        <v>100</v>
      </c>
      <c r="R58" s="176">
        <f>USD!R59</f>
        <v>1</v>
      </c>
      <c r="S58" s="176">
        <f>USD!S59</f>
        <v>0.95</v>
      </c>
      <c r="T58" s="176">
        <f>USD!T59</f>
        <v>0.9</v>
      </c>
      <c r="U58" s="176">
        <f>USD!U59</f>
        <v>0.95</v>
      </c>
      <c r="V58" s="176">
        <f>USD!V59</f>
        <v>0.95</v>
      </c>
      <c r="W58" s="176">
        <f>USD!W59</f>
        <v>1</v>
      </c>
      <c r="X58" s="176">
        <f>USD!X59</f>
        <v>0.95</v>
      </c>
      <c r="Y58" s="176">
        <f>USD!Y59</f>
        <v>1</v>
      </c>
      <c r="Z58" s="176">
        <f>USD!Z59</f>
        <v>0.9</v>
      </c>
      <c r="AA58" s="176">
        <f>USD!AA59</f>
        <v>0.85</v>
      </c>
    </row>
    <row r="59" spans="15:27" ht="11.25">
      <c r="O59" s="87" t="str">
        <f>USD!O60</f>
        <v>Липецкая область (не включая г. Липецк)</v>
      </c>
      <c r="P59" s="88">
        <f>USD!P60</f>
        <v>100</v>
      </c>
      <c r="Q59" s="88">
        <f>USD!Q60</f>
        <v>85</v>
      </c>
      <c r="R59" s="176">
        <f>USD!R60</f>
        <v>0.85</v>
      </c>
      <c r="S59" s="176">
        <f>USD!S60</f>
        <v>0.85</v>
      </c>
      <c r="T59" s="176">
        <f>USD!T60</f>
        <v>0.7</v>
      </c>
      <c r="U59" s="176">
        <f>USD!U60</f>
        <v>0.85</v>
      </c>
      <c r="V59" s="176">
        <f>USD!V60</f>
        <v>0.7</v>
      </c>
      <c r="W59" s="176">
        <f>USD!W60</f>
        <v>0.85</v>
      </c>
      <c r="X59" s="176">
        <f>USD!X60</f>
        <v>0.95</v>
      </c>
      <c r="Y59" s="176">
        <f>USD!Y60</f>
        <v>1</v>
      </c>
      <c r="Z59" s="176">
        <f>USD!Z60</f>
        <v>0.9</v>
      </c>
      <c r="AA59" s="176">
        <f>USD!AA60</f>
        <v>0.85</v>
      </c>
    </row>
    <row r="60" spans="15:27" ht="11.25">
      <c r="O60" s="87" t="str">
        <f>USD!O61</f>
        <v>г. Липецк</v>
      </c>
      <c r="P60" s="88">
        <f>USD!P61</f>
        <v>100</v>
      </c>
      <c r="Q60" s="88">
        <f>USD!Q61</f>
        <v>85</v>
      </c>
      <c r="R60" s="176">
        <f>USD!R61</f>
        <v>0.9</v>
      </c>
      <c r="S60" s="176">
        <f>USD!S61</f>
        <v>0.85</v>
      </c>
      <c r="T60" s="176">
        <f>USD!T61</f>
        <v>0.7</v>
      </c>
      <c r="U60" s="176">
        <f>USD!U61</f>
        <v>0.85</v>
      </c>
      <c r="V60" s="176">
        <f>USD!V61</f>
        <v>0.7</v>
      </c>
      <c r="W60" s="176">
        <f>USD!W61</f>
        <v>0.9</v>
      </c>
      <c r="X60" s="176">
        <f>USD!X61</f>
        <v>0.95</v>
      </c>
      <c r="Y60" s="176">
        <f>USD!Y61</f>
        <v>1</v>
      </c>
      <c r="Z60" s="176">
        <f>USD!Z61</f>
        <v>0.9</v>
      </c>
      <c r="AA60" s="176">
        <f>USD!AA61</f>
        <v>0.85</v>
      </c>
    </row>
    <row r="61" spans="15:27" ht="11.25">
      <c r="O61" s="87" t="str">
        <f>USD!O62</f>
        <v>Нижегородская область (не включая г. Нижний Новгород)</v>
      </c>
      <c r="P61" s="88">
        <f>USD!P62</f>
        <v>100</v>
      </c>
      <c r="Q61" s="88">
        <f>USD!Q62</f>
        <v>85</v>
      </c>
      <c r="R61" s="176">
        <f>USD!R62</f>
        <v>0.85</v>
      </c>
      <c r="S61" s="176">
        <f>USD!S62</f>
        <v>0.85</v>
      </c>
      <c r="T61" s="176">
        <f>USD!T62</f>
        <v>0.7</v>
      </c>
      <c r="U61" s="176">
        <f>USD!U62</f>
        <v>0.85</v>
      </c>
      <c r="V61" s="176">
        <f>USD!V62</f>
        <v>0.7</v>
      </c>
      <c r="W61" s="176">
        <f>USD!W62</f>
        <v>0.85</v>
      </c>
      <c r="X61" s="176">
        <f>USD!X62</f>
        <v>0.95</v>
      </c>
      <c r="Y61" s="176">
        <f>USD!Y62</f>
        <v>1</v>
      </c>
      <c r="Z61" s="176">
        <f>USD!Z62</f>
        <v>0.9</v>
      </c>
      <c r="AA61" s="176">
        <f>USD!AA62</f>
        <v>0.85</v>
      </c>
    </row>
    <row r="62" spans="15:27" ht="11.25">
      <c r="O62" s="87" t="str">
        <f>USD!O63</f>
        <v>г. Нижний Новгород</v>
      </c>
      <c r="P62" s="88">
        <f>USD!P63</f>
        <v>100</v>
      </c>
      <c r="Q62" s="88">
        <f>USD!Q63</f>
        <v>85</v>
      </c>
      <c r="R62" s="176">
        <f>USD!R63</f>
        <v>1</v>
      </c>
      <c r="S62" s="176">
        <f>USD!S63</f>
        <v>0.95</v>
      </c>
      <c r="T62" s="176">
        <f>USD!T63</f>
        <v>0.9</v>
      </c>
      <c r="U62" s="176">
        <f>USD!U63</f>
        <v>0.95</v>
      </c>
      <c r="V62" s="176">
        <f>USD!V63</f>
        <v>0.95</v>
      </c>
      <c r="W62" s="176">
        <f>USD!W63</f>
        <v>1</v>
      </c>
      <c r="X62" s="176">
        <f>USD!X63</f>
        <v>0.95</v>
      </c>
      <c r="Y62" s="176">
        <f>USD!Y63</f>
        <v>1</v>
      </c>
      <c r="Z62" s="176">
        <f>USD!Z63</f>
        <v>0.9</v>
      </c>
      <c r="AA62" s="176">
        <f>USD!AA63</f>
        <v>0.85</v>
      </c>
    </row>
    <row r="63" spans="15:27" ht="11.25">
      <c r="O63" s="87" t="str">
        <f>USD!O64</f>
        <v>Новосибирская область (не включая г. Новосибирск)</v>
      </c>
      <c r="P63" s="88">
        <f>USD!P64</f>
        <v>100</v>
      </c>
      <c r="Q63" s="88">
        <f>USD!Q64</f>
        <v>85</v>
      </c>
      <c r="R63" s="176">
        <f>USD!R64</f>
        <v>0.85</v>
      </c>
      <c r="S63" s="176">
        <f>USD!S64</f>
        <v>0.85</v>
      </c>
      <c r="T63" s="176">
        <f>USD!T64</f>
        <v>0.7</v>
      </c>
      <c r="U63" s="176">
        <f>USD!U64</f>
        <v>0.85</v>
      </c>
      <c r="V63" s="176">
        <f>USD!V64</f>
        <v>0.7</v>
      </c>
      <c r="W63" s="176">
        <f>USD!W64</f>
        <v>0.85</v>
      </c>
      <c r="X63" s="176">
        <f>USD!X64</f>
        <v>0.95</v>
      </c>
      <c r="Y63" s="176">
        <f>USD!Y64</f>
        <v>1</v>
      </c>
      <c r="Z63" s="176">
        <f>USD!Z64</f>
        <v>0.9</v>
      </c>
      <c r="AA63" s="176">
        <f>USD!AA64</f>
        <v>0.85</v>
      </c>
    </row>
    <row r="64" spans="15:27" ht="11.25">
      <c r="O64" s="87" t="str">
        <f>USD!O65</f>
        <v>г. Новосибирск</v>
      </c>
      <c r="P64" s="88">
        <f>USD!P65</f>
        <v>100</v>
      </c>
      <c r="Q64" s="88">
        <f>USD!Q65</f>
        <v>85</v>
      </c>
      <c r="R64" s="176">
        <f>USD!R65</f>
        <v>1</v>
      </c>
      <c r="S64" s="176">
        <f>USD!S65</f>
        <v>0.95</v>
      </c>
      <c r="T64" s="176">
        <f>USD!T65</f>
        <v>0.9</v>
      </c>
      <c r="U64" s="176">
        <f>USD!U65</f>
        <v>0.95</v>
      </c>
      <c r="V64" s="176">
        <f>USD!V65</f>
        <v>0.95</v>
      </c>
      <c r="W64" s="176">
        <f>USD!W65</f>
        <v>1</v>
      </c>
      <c r="X64" s="176">
        <f>USD!X65</f>
        <v>0.95</v>
      </c>
      <c r="Y64" s="176">
        <f>USD!Y65</f>
        <v>1</v>
      </c>
      <c r="Z64" s="176">
        <f>USD!Z65</f>
        <v>0.9</v>
      </c>
      <c r="AA64" s="176">
        <f>USD!AA65</f>
        <v>0.85</v>
      </c>
    </row>
    <row r="65" spans="15:27" ht="11.25">
      <c r="O65" s="87" t="str">
        <f>USD!O66</f>
        <v>Омская область (не включая г. Омск)</v>
      </c>
      <c r="P65" s="88">
        <f>USD!P66</f>
        <v>100</v>
      </c>
      <c r="Q65" s="88">
        <f>USD!Q66</f>
        <v>85</v>
      </c>
      <c r="R65" s="176">
        <f>USD!R66</f>
        <v>0.85</v>
      </c>
      <c r="S65" s="176">
        <f>USD!S66</f>
        <v>0.85</v>
      </c>
      <c r="T65" s="176">
        <f>USD!T66</f>
        <v>0.7</v>
      </c>
      <c r="U65" s="176">
        <f>USD!U66</f>
        <v>0.85</v>
      </c>
      <c r="V65" s="176">
        <f>USD!V66</f>
        <v>0.7</v>
      </c>
      <c r="W65" s="176">
        <f>USD!W66</f>
        <v>0.85</v>
      </c>
      <c r="X65" s="176">
        <f>USD!X66</f>
        <v>0.95</v>
      </c>
      <c r="Y65" s="176">
        <f>USD!Y66</f>
        <v>1</v>
      </c>
      <c r="Z65" s="176">
        <f>USD!Z66</f>
        <v>0.9</v>
      </c>
      <c r="AA65" s="176">
        <f>USD!AA66</f>
        <v>0.85</v>
      </c>
    </row>
    <row r="66" spans="15:27" ht="11.25">
      <c r="O66" s="87" t="str">
        <f>USD!O67</f>
        <v>г. Омск</v>
      </c>
      <c r="P66" s="88">
        <f>USD!P67</f>
        <v>100</v>
      </c>
      <c r="Q66" s="88">
        <f>USD!Q67</f>
        <v>85</v>
      </c>
      <c r="R66" s="176">
        <f>USD!R67</f>
        <v>0.9</v>
      </c>
      <c r="S66" s="176">
        <f>USD!S67</f>
        <v>0.85</v>
      </c>
      <c r="T66" s="176">
        <f>USD!T67</f>
        <v>0.7</v>
      </c>
      <c r="U66" s="176">
        <f>USD!U67</f>
        <v>0.85</v>
      </c>
      <c r="V66" s="176">
        <f>USD!V67</f>
        <v>0.7</v>
      </c>
      <c r="W66" s="176">
        <f>USD!W67</f>
        <v>0.9</v>
      </c>
      <c r="X66" s="176">
        <f>USD!X67</f>
        <v>0.95</v>
      </c>
      <c r="Y66" s="176">
        <f>USD!Y67</f>
        <v>1</v>
      </c>
      <c r="Z66" s="176">
        <f>USD!Z67</f>
        <v>0.9</v>
      </c>
      <c r="AA66" s="176">
        <f>USD!AA67</f>
        <v>0.85</v>
      </c>
    </row>
    <row r="67" spans="15:27" ht="11.25">
      <c r="O67" s="87" t="str">
        <f>USD!O68</f>
        <v>Пермский край (не включая г. Пермь)</v>
      </c>
      <c r="P67" s="88">
        <f>USD!P68</f>
        <v>100</v>
      </c>
      <c r="Q67" s="88">
        <f>USD!Q68</f>
        <v>85</v>
      </c>
      <c r="R67" s="176">
        <f>USD!R68</f>
        <v>0.85</v>
      </c>
      <c r="S67" s="176">
        <f>USD!S68</f>
        <v>0.85</v>
      </c>
      <c r="T67" s="176">
        <f>USD!T68</f>
        <v>0.7</v>
      </c>
      <c r="U67" s="176">
        <f>USD!U68</f>
        <v>0.85</v>
      </c>
      <c r="V67" s="176">
        <f>USD!V68</f>
        <v>0.7</v>
      </c>
      <c r="W67" s="176">
        <f>USD!W68</f>
        <v>0.85</v>
      </c>
      <c r="X67" s="176">
        <f>USD!X68</f>
        <v>0.95</v>
      </c>
      <c r="Y67" s="176">
        <f>USD!Y68</f>
        <v>1</v>
      </c>
      <c r="Z67" s="176">
        <f>USD!Z68</f>
        <v>0.9</v>
      </c>
      <c r="AA67" s="176">
        <f>USD!AA68</f>
        <v>0.85</v>
      </c>
    </row>
    <row r="68" spans="15:27" ht="11.25">
      <c r="O68" s="87" t="str">
        <f>USD!O69</f>
        <v>г. Пермь</v>
      </c>
      <c r="P68" s="88">
        <f>USD!P69</f>
        <v>100</v>
      </c>
      <c r="Q68" s="88">
        <f>USD!Q69</f>
        <v>85</v>
      </c>
      <c r="R68" s="176">
        <f>USD!R69</f>
        <v>0.9</v>
      </c>
      <c r="S68" s="176">
        <f>USD!S69</f>
        <v>0.85</v>
      </c>
      <c r="T68" s="176">
        <f>USD!T69</f>
        <v>0.7</v>
      </c>
      <c r="U68" s="176">
        <f>USD!U69</f>
        <v>0.85</v>
      </c>
      <c r="V68" s="176">
        <f>USD!V69</f>
        <v>0.7</v>
      </c>
      <c r="W68" s="176">
        <f>USD!W69</f>
        <v>0.9</v>
      </c>
      <c r="X68" s="176">
        <f>USD!X69</f>
        <v>0.95</v>
      </c>
      <c r="Y68" s="176">
        <f>USD!Y69</f>
        <v>1</v>
      </c>
      <c r="Z68" s="176">
        <f>USD!Z69</f>
        <v>0.9</v>
      </c>
      <c r="AA68" s="176">
        <f>USD!AA69</f>
        <v>0.85</v>
      </c>
    </row>
    <row r="69" spans="15:27" ht="11.25">
      <c r="O69" s="87" t="str">
        <f>USD!O70</f>
        <v>Приморский край (включая г. Владивосток)</v>
      </c>
      <c r="P69" s="88">
        <f>USD!P70</f>
        <v>120</v>
      </c>
      <c r="Q69" s="88">
        <f>USD!Q70</f>
        <v>100</v>
      </c>
      <c r="R69" s="176">
        <f>USD!R70</f>
        <v>0.85</v>
      </c>
      <c r="S69" s="176">
        <f>USD!S70</f>
        <v>0.85</v>
      </c>
      <c r="T69" s="176">
        <f>USD!T70</f>
        <v>0.7</v>
      </c>
      <c r="U69" s="176">
        <f>USD!U70</f>
        <v>0.85</v>
      </c>
      <c r="V69" s="176">
        <f>USD!V70</f>
        <v>0.7</v>
      </c>
      <c r="W69" s="176">
        <f>USD!W70</f>
        <v>0.85</v>
      </c>
      <c r="X69" s="176">
        <f>USD!X70</f>
        <v>0.95</v>
      </c>
      <c r="Y69" s="176">
        <f>USD!Y70</f>
        <v>1</v>
      </c>
      <c r="Z69" s="176">
        <f>USD!Z70</f>
        <v>0.9</v>
      </c>
      <c r="AA69" s="176">
        <f>USD!AA70</f>
        <v>0.85</v>
      </c>
    </row>
    <row r="70" spans="15:27" ht="11.25">
      <c r="O70" s="87" t="str">
        <f>USD!O71</f>
        <v>Республика Коми (не включая г. Сыктывкар)</v>
      </c>
      <c r="P70" s="88">
        <f>USD!P71</f>
        <v>100</v>
      </c>
      <c r="Q70" s="88">
        <f>USD!Q71</f>
        <v>85</v>
      </c>
      <c r="R70" s="176">
        <f>USD!R71</f>
        <v>0.85</v>
      </c>
      <c r="S70" s="176">
        <f>USD!S71</f>
        <v>0.85</v>
      </c>
      <c r="T70" s="176">
        <f>USD!T71</f>
        <v>0.7</v>
      </c>
      <c r="U70" s="176">
        <f>USD!U71</f>
        <v>0.85</v>
      </c>
      <c r="V70" s="176">
        <f>USD!V71</f>
        <v>0.7</v>
      </c>
      <c r="W70" s="176">
        <f>USD!W71</f>
        <v>0.85</v>
      </c>
      <c r="X70" s="176">
        <f>USD!X71</f>
        <v>0.95</v>
      </c>
      <c r="Y70" s="176">
        <f>USD!Y71</f>
        <v>1</v>
      </c>
      <c r="Z70" s="176">
        <f>USD!Z71</f>
        <v>0.9</v>
      </c>
      <c r="AA70" s="176">
        <f>USD!AA71</f>
        <v>0.85</v>
      </c>
    </row>
    <row r="71" spans="15:27" ht="11.25">
      <c r="O71" s="87" t="str">
        <f>USD!O72</f>
        <v>г. Сыктывкар</v>
      </c>
      <c r="P71" s="88">
        <f>USD!P72</f>
        <v>100</v>
      </c>
      <c r="Q71" s="88">
        <f>USD!Q72</f>
        <v>85</v>
      </c>
      <c r="R71" s="176">
        <f>USD!R72</f>
        <v>0.9</v>
      </c>
      <c r="S71" s="176">
        <f>USD!S72</f>
        <v>0.85</v>
      </c>
      <c r="T71" s="176">
        <f>USD!T72</f>
        <v>0.7</v>
      </c>
      <c r="U71" s="176">
        <f>USD!U72</f>
        <v>0.85</v>
      </c>
      <c r="V71" s="176">
        <f>USD!V72</f>
        <v>0.7</v>
      </c>
      <c r="W71" s="176">
        <f>USD!W72</f>
        <v>0.9</v>
      </c>
      <c r="X71" s="176">
        <f>USD!X72</f>
        <v>0.95</v>
      </c>
      <c r="Y71" s="176">
        <f>USD!Y72</f>
        <v>1</v>
      </c>
      <c r="Z71" s="176">
        <f>USD!Z72</f>
        <v>0.9</v>
      </c>
      <c r="AA71" s="176">
        <f>USD!AA72</f>
        <v>0.85</v>
      </c>
    </row>
    <row r="72" spans="15:27" ht="11.25">
      <c r="O72" s="87" t="str">
        <f>USD!O73</f>
        <v>Республика Марий Эл (не включая г. Йошкар-Олу)</v>
      </c>
      <c r="P72" s="88">
        <f>USD!P73</f>
        <v>100</v>
      </c>
      <c r="Q72" s="88">
        <f>USD!Q73</f>
        <v>85</v>
      </c>
      <c r="R72" s="176">
        <f>USD!R73</f>
        <v>0.85</v>
      </c>
      <c r="S72" s="176">
        <f>USD!S73</f>
        <v>0.85</v>
      </c>
      <c r="T72" s="176">
        <f>USD!T73</f>
        <v>0.7</v>
      </c>
      <c r="U72" s="176">
        <f>USD!U73</f>
        <v>0.85</v>
      </c>
      <c r="V72" s="176">
        <f>USD!V73</f>
        <v>0.7</v>
      </c>
      <c r="W72" s="176">
        <f>USD!W73</f>
        <v>0.85</v>
      </c>
      <c r="X72" s="176">
        <f>USD!X73</f>
        <v>0.95</v>
      </c>
      <c r="Y72" s="176">
        <f>USD!Y73</f>
        <v>1</v>
      </c>
      <c r="Z72" s="176">
        <f>USD!Z73</f>
        <v>0.9</v>
      </c>
      <c r="AA72" s="176">
        <f>USD!AA73</f>
        <v>0.85</v>
      </c>
    </row>
    <row r="73" spans="15:27" ht="11.25">
      <c r="O73" s="87" t="str">
        <f>USD!O74</f>
        <v>г. Йошкар-Ола</v>
      </c>
      <c r="P73" s="88">
        <f>USD!P74</f>
        <v>100</v>
      </c>
      <c r="Q73" s="88">
        <f>USD!Q74</f>
        <v>85</v>
      </c>
      <c r="R73" s="176">
        <f>USD!R74</f>
        <v>0.9</v>
      </c>
      <c r="S73" s="176">
        <f>USD!S74</f>
        <v>0.85</v>
      </c>
      <c r="T73" s="176">
        <f>USD!T74</f>
        <v>0.7</v>
      </c>
      <c r="U73" s="176">
        <f>USD!U74</f>
        <v>0.85</v>
      </c>
      <c r="V73" s="176">
        <f>USD!V74</f>
        <v>0.7</v>
      </c>
      <c r="W73" s="176">
        <f>USD!W74</f>
        <v>0.9</v>
      </c>
      <c r="X73" s="176">
        <f>USD!X74</f>
        <v>0.95</v>
      </c>
      <c r="Y73" s="176">
        <f>USD!Y74</f>
        <v>1</v>
      </c>
      <c r="Z73" s="176">
        <f>USD!Z74</f>
        <v>0.9</v>
      </c>
      <c r="AA73" s="176">
        <f>USD!AA74</f>
        <v>0.85</v>
      </c>
    </row>
    <row r="74" spans="15:27" ht="11.25">
      <c r="O74" s="87" t="str">
        <f>USD!O75</f>
        <v>Республика Саха (Якутия) (не включая г. Якутск)</v>
      </c>
      <c r="P74" s="88">
        <f>USD!P75</f>
        <v>120</v>
      </c>
      <c r="Q74" s="88">
        <f>USD!Q75</f>
        <v>100</v>
      </c>
      <c r="R74" s="176">
        <f>USD!R75</f>
        <v>0.85</v>
      </c>
      <c r="S74" s="176">
        <f>USD!S75</f>
        <v>0.85</v>
      </c>
      <c r="T74" s="176">
        <f>USD!T75</f>
        <v>0.7</v>
      </c>
      <c r="U74" s="176">
        <f>USD!U75</f>
        <v>0.85</v>
      </c>
      <c r="V74" s="176">
        <f>USD!V75</f>
        <v>0.7</v>
      </c>
      <c r="W74" s="176">
        <f>USD!W75</f>
        <v>0.85</v>
      </c>
      <c r="X74" s="176">
        <f>USD!X75</f>
        <v>0.95</v>
      </c>
      <c r="Y74" s="176">
        <f>USD!Y75</f>
        <v>1</v>
      </c>
      <c r="Z74" s="176">
        <f>USD!Z75</f>
        <v>0.9</v>
      </c>
      <c r="AA74" s="176">
        <f>USD!AA75</f>
        <v>0.85</v>
      </c>
    </row>
    <row r="75" spans="15:27" ht="11.25">
      <c r="O75" s="87" t="str">
        <f>USD!O76</f>
        <v>г. Якутск</v>
      </c>
      <c r="P75" s="88">
        <f>USD!P76</f>
        <v>120</v>
      </c>
      <c r="Q75" s="88">
        <f>USD!Q76</f>
        <v>100</v>
      </c>
      <c r="R75" s="176">
        <f>USD!R76</f>
        <v>0.9</v>
      </c>
      <c r="S75" s="176">
        <f>USD!S76</f>
        <v>0.85</v>
      </c>
      <c r="T75" s="176">
        <f>USD!T76</f>
        <v>0.7</v>
      </c>
      <c r="U75" s="176">
        <f>USD!U76</f>
        <v>0.85</v>
      </c>
      <c r="V75" s="176">
        <f>USD!V76</f>
        <v>0.7</v>
      </c>
      <c r="W75" s="176">
        <f>USD!W76</f>
        <v>0.9</v>
      </c>
      <c r="X75" s="176">
        <f>USD!X76</f>
        <v>0.95</v>
      </c>
      <c r="Y75" s="176">
        <f>USD!Y76</f>
        <v>1</v>
      </c>
      <c r="Z75" s="176">
        <f>USD!Z76</f>
        <v>0.9</v>
      </c>
      <c r="AA75" s="176">
        <f>USD!AA76</f>
        <v>0.85</v>
      </c>
    </row>
    <row r="76" spans="15:27" ht="11.25">
      <c r="O76" s="87" t="str">
        <f>USD!O77</f>
        <v>Республика Татарстан (не включая г. Казань)</v>
      </c>
      <c r="P76" s="88">
        <f>USD!P77</f>
        <v>100</v>
      </c>
      <c r="Q76" s="88">
        <f>USD!Q77</f>
        <v>85</v>
      </c>
      <c r="R76" s="176">
        <f>USD!R77</f>
        <v>0.85</v>
      </c>
      <c r="S76" s="176">
        <f>USD!S77</f>
        <v>0.85</v>
      </c>
      <c r="T76" s="176">
        <f>USD!T77</f>
        <v>0.7</v>
      </c>
      <c r="U76" s="176">
        <f>USD!U77</f>
        <v>0.85</v>
      </c>
      <c r="V76" s="176">
        <f>USD!V77</f>
        <v>0.7</v>
      </c>
      <c r="W76" s="176">
        <f>USD!W77</f>
        <v>0.85</v>
      </c>
      <c r="X76" s="176">
        <f>USD!X77</f>
        <v>0.95</v>
      </c>
      <c r="Y76" s="176">
        <f>USD!Y77</f>
        <v>1</v>
      </c>
      <c r="Z76" s="176">
        <f>USD!Z77</f>
        <v>0.9</v>
      </c>
      <c r="AA76" s="176">
        <f>USD!AA77</f>
        <v>0.85</v>
      </c>
    </row>
    <row r="77" spans="15:27" ht="11.25">
      <c r="O77" s="87" t="str">
        <f>USD!O78</f>
        <v>г. Казань</v>
      </c>
      <c r="P77" s="88">
        <f>USD!P78</f>
        <v>100</v>
      </c>
      <c r="Q77" s="88">
        <f>USD!Q78</f>
        <v>85</v>
      </c>
      <c r="R77" s="176">
        <f>USD!R78</f>
        <v>1</v>
      </c>
      <c r="S77" s="176">
        <f>USD!S78</f>
        <v>0.95</v>
      </c>
      <c r="T77" s="176">
        <f>USD!T78</f>
        <v>0.9</v>
      </c>
      <c r="U77" s="176">
        <f>USD!U78</f>
        <v>0.95</v>
      </c>
      <c r="V77" s="176">
        <f>USD!V78</f>
        <v>0.95</v>
      </c>
      <c r="W77" s="176">
        <f>USD!W78</f>
        <v>1</v>
      </c>
      <c r="X77" s="176">
        <f>USD!X78</f>
        <v>0.95</v>
      </c>
      <c r="Y77" s="176">
        <f>USD!Y78</f>
        <v>1</v>
      </c>
      <c r="Z77" s="176">
        <f>USD!Z78</f>
        <v>0.9</v>
      </c>
      <c r="AA77" s="176">
        <f>USD!AA78</f>
        <v>0.85</v>
      </c>
    </row>
    <row r="78" spans="15:27" ht="11.25">
      <c r="O78" s="87" t="str">
        <f>USD!O79</f>
        <v>Ростовская область (не включая г. Ростов-на-Дону)</v>
      </c>
      <c r="P78" s="88">
        <f>USD!P79</f>
        <v>100</v>
      </c>
      <c r="Q78" s="88">
        <f>USD!Q79</f>
        <v>85</v>
      </c>
      <c r="R78" s="176">
        <f>USD!R79</f>
        <v>0.85</v>
      </c>
      <c r="S78" s="176">
        <f>USD!S79</f>
        <v>0.85</v>
      </c>
      <c r="T78" s="176">
        <f>USD!T79</f>
        <v>0.7</v>
      </c>
      <c r="U78" s="176">
        <f>USD!U79</f>
        <v>0.85</v>
      </c>
      <c r="V78" s="176">
        <f>USD!V79</f>
        <v>0.7</v>
      </c>
      <c r="W78" s="176">
        <f>USD!W79</f>
        <v>0.85</v>
      </c>
      <c r="X78" s="176">
        <f>USD!X79</f>
        <v>0.95</v>
      </c>
      <c r="Y78" s="176">
        <f>USD!Y79</f>
        <v>1</v>
      </c>
      <c r="Z78" s="176">
        <f>USD!Z79</f>
        <v>0.9</v>
      </c>
      <c r="AA78" s="176">
        <f>USD!AA79</f>
        <v>0.85</v>
      </c>
    </row>
    <row r="79" spans="15:27" ht="11.25">
      <c r="O79" s="87" t="str">
        <f>USD!O80</f>
        <v>г. Ростов-на-Дону</v>
      </c>
      <c r="P79" s="88">
        <f>USD!P80</f>
        <v>100</v>
      </c>
      <c r="Q79" s="88">
        <f>USD!Q80</f>
        <v>85</v>
      </c>
      <c r="R79" s="176">
        <f>USD!R80</f>
        <v>0.95</v>
      </c>
      <c r="S79" s="176">
        <f>USD!S80</f>
        <v>0.95</v>
      </c>
      <c r="T79" s="176">
        <f>USD!T80</f>
        <v>0.9</v>
      </c>
      <c r="U79" s="176">
        <f>USD!U80</f>
        <v>0.95</v>
      </c>
      <c r="V79" s="176">
        <f>USD!V80</f>
        <v>0.95</v>
      </c>
      <c r="W79" s="176">
        <f>USD!W80</f>
        <v>0.95</v>
      </c>
      <c r="X79" s="176">
        <f>USD!X80</f>
        <v>0.95</v>
      </c>
      <c r="Y79" s="176">
        <f>USD!Y80</f>
        <v>1</v>
      </c>
      <c r="Z79" s="176">
        <f>USD!Z80</f>
        <v>0.9</v>
      </c>
      <c r="AA79" s="176">
        <f>USD!AA80</f>
        <v>0.85</v>
      </c>
    </row>
    <row r="80" spans="15:27" ht="11.25">
      <c r="O80" s="87" t="str">
        <f>USD!O81</f>
        <v>Самарская область (не включая г. Самара и г. Тольятти)</v>
      </c>
      <c r="P80" s="88">
        <f>USD!P81</f>
        <v>100</v>
      </c>
      <c r="Q80" s="88">
        <f>USD!Q81</f>
        <v>85</v>
      </c>
      <c r="R80" s="176">
        <f>USD!R81</f>
        <v>0.85</v>
      </c>
      <c r="S80" s="176">
        <f>USD!S81</f>
        <v>0.85</v>
      </c>
      <c r="T80" s="176">
        <f>USD!T81</f>
        <v>0.7</v>
      </c>
      <c r="U80" s="176">
        <f>USD!U81</f>
        <v>0.85</v>
      </c>
      <c r="V80" s="176">
        <f>USD!V81</f>
        <v>0.7</v>
      </c>
      <c r="W80" s="176">
        <f>USD!W81</f>
        <v>0.85</v>
      </c>
      <c r="X80" s="176">
        <f>USD!X81</f>
        <v>0.95</v>
      </c>
      <c r="Y80" s="176">
        <f>USD!Y81</f>
        <v>1</v>
      </c>
      <c r="Z80" s="176">
        <f>USD!Z81</f>
        <v>0.9</v>
      </c>
      <c r="AA80" s="176">
        <f>USD!AA81</f>
        <v>0.85</v>
      </c>
    </row>
    <row r="81" spans="15:27" ht="11.25">
      <c r="O81" s="87" t="str">
        <f>USD!O82</f>
        <v>г. Самара</v>
      </c>
      <c r="P81" s="88">
        <f>USD!P82</f>
        <v>100</v>
      </c>
      <c r="Q81" s="88">
        <f>USD!Q82</f>
        <v>85</v>
      </c>
      <c r="R81" s="176">
        <f>USD!R82</f>
        <v>1</v>
      </c>
      <c r="S81" s="176">
        <f>USD!S82</f>
        <v>0.95</v>
      </c>
      <c r="T81" s="176">
        <f>USD!T82</f>
        <v>0.9</v>
      </c>
      <c r="U81" s="176">
        <f>USD!U82</f>
        <v>0.95</v>
      </c>
      <c r="V81" s="176">
        <f>USD!V82</f>
        <v>0.95</v>
      </c>
      <c r="W81" s="176">
        <f>USD!W82</f>
        <v>1</v>
      </c>
      <c r="X81" s="176">
        <f>USD!X82</f>
        <v>0.95</v>
      </c>
      <c r="Y81" s="176">
        <f>USD!Y82</f>
        <v>1</v>
      </c>
      <c r="Z81" s="176">
        <f>USD!Z82</f>
        <v>0.9</v>
      </c>
      <c r="AA81" s="176">
        <f>USD!AA82</f>
        <v>0.85</v>
      </c>
    </row>
    <row r="82" spans="15:27" ht="11.25">
      <c r="O82" s="87" t="str">
        <f>USD!O83</f>
        <v>г. Тольятти</v>
      </c>
      <c r="P82" s="88">
        <f>USD!P83</f>
        <v>100</v>
      </c>
      <c r="Q82" s="88">
        <f>USD!Q83</f>
        <v>85</v>
      </c>
      <c r="R82" s="176">
        <f>USD!R83</f>
        <v>0.9</v>
      </c>
      <c r="S82" s="176">
        <f>USD!S83</f>
        <v>0.85</v>
      </c>
      <c r="T82" s="176">
        <f>USD!T83</f>
        <v>0.7</v>
      </c>
      <c r="U82" s="176">
        <f>USD!U83</f>
        <v>0.85</v>
      </c>
      <c r="V82" s="176">
        <f>USD!V83</f>
        <v>0.7</v>
      </c>
      <c r="W82" s="176">
        <f>USD!W83</f>
        <v>0.9</v>
      </c>
      <c r="X82" s="176">
        <f>USD!X83</f>
        <v>0.95</v>
      </c>
      <c r="Y82" s="176">
        <f>USD!Y83</f>
        <v>1</v>
      </c>
      <c r="Z82" s="176">
        <f>USD!Z83</f>
        <v>0.9</v>
      </c>
      <c r="AA82" s="176">
        <f>USD!AA83</f>
        <v>0.85</v>
      </c>
    </row>
    <row r="83" spans="15:27" ht="11.25">
      <c r="O83" s="87" t="str">
        <f>USD!O84</f>
        <v>Саратовская область (включая г. Саратов)</v>
      </c>
      <c r="P83" s="88">
        <f>USD!P84</f>
        <v>100</v>
      </c>
      <c r="Q83" s="88">
        <f>USD!Q84</f>
        <v>85</v>
      </c>
      <c r="R83" s="176">
        <f>USD!R84</f>
        <v>0.85</v>
      </c>
      <c r="S83" s="176">
        <f>USD!S84</f>
        <v>0.85</v>
      </c>
      <c r="T83" s="176">
        <f>USD!T84</f>
        <v>0.7</v>
      </c>
      <c r="U83" s="176">
        <f>USD!U84</f>
        <v>0.85</v>
      </c>
      <c r="V83" s="176">
        <f>USD!V84</f>
        <v>0.7</v>
      </c>
      <c r="W83" s="176">
        <f>USD!W84</f>
        <v>0.85</v>
      </c>
      <c r="X83" s="176">
        <f>USD!X84</f>
        <v>0.95</v>
      </c>
      <c r="Y83" s="176">
        <f>USD!Y84</f>
        <v>1</v>
      </c>
      <c r="Z83" s="176">
        <f>USD!Z84</f>
        <v>0.9</v>
      </c>
      <c r="AA83" s="176">
        <f>USD!AA84</f>
        <v>0.85</v>
      </c>
    </row>
    <row r="84" spans="15:27" ht="11.25">
      <c r="O84" s="87" t="str">
        <f>USD!O85</f>
        <v>Свердловская область (не включая г. Екатеринбург)</v>
      </c>
      <c r="P84" s="88">
        <f>USD!P85</f>
        <v>100</v>
      </c>
      <c r="Q84" s="88">
        <f>USD!Q85</f>
        <v>85</v>
      </c>
      <c r="R84" s="176">
        <f>USD!R85</f>
        <v>0.85</v>
      </c>
      <c r="S84" s="176">
        <f>USD!S85</f>
        <v>0.85</v>
      </c>
      <c r="T84" s="176">
        <f>USD!T85</f>
        <v>0.7</v>
      </c>
      <c r="U84" s="176">
        <f>USD!U85</f>
        <v>0.85</v>
      </c>
      <c r="V84" s="176">
        <f>USD!V85</f>
        <v>0.7</v>
      </c>
      <c r="W84" s="176">
        <f>USD!W85</f>
        <v>0.85</v>
      </c>
      <c r="X84" s="176">
        <f>USD!X85</f>
        <v>0.95</v>
      </c>
      <c r="Y84" s="176">
        <f>USD!Y85</f>
        <v>1</v>
      </c>
      <c r="Z84" s="176">
        <f>USD!Z85</f>
        <v>0.9</v>
      </c>
      <c r="AA84" s="176">
        <f>USD!AA85</f>
        <v>0.85</v>
      </c>
    </row>
    <row r="85" spans="15:27" ht="11.25">
      <c r="O85" s="87" t="str">
        <f>USD!O86</f>
        <v>г. Екатеринбург</v>
      </c>
      <c r="P85" s="88">
        <f>USD!P86</f>
        <v>100</v>
      </c>
      <c r="Q85" s="88">
        <f>USD!Q86</f>
        <v>85</v>
      </c>
      <c r="R85" s="176">
        <f>USD!R86</f>
        <v>1</v>
      </c>
      <c r="S85" s="176">
        <f>USD!S86</f>
        <v>0.95</v>
      </c>
      <c r="T85" s="176">
        <f>USD!T86</f>
        <v>0.9</v>
      </c>
      <c r="U85" s="176">
        <f>USD!U86</f>
        <v>0.95</v>
      </c>
      <c r="V85" s="176">
        <f>USD!V86</f>
        <v>0.95</v>
      </c>
      <c r="W85" s="176">
        <f>USD!W86</f>
        <v>1</v>
      </c>
      <c r="X85" s="176">
        <f>USD!X86</f>
        <v>0.95</v>
      </c>
      <c r="Y85" s="176">
        <f>USD!Y86</f>
        <v>1</v>
      </c>
      <c r="Z85" s="176">
        <f>USD!Z86</f>
        <v>0.9</v>
      </c>
      <c r="AA85" s="176">
        <f>USD!AA86</f>
        <v>0.85</v>
      </c>
    </row>
    <row r="86" spans="15:27" ht="11.25">
      <c r="O86" s="87" t="str">
        <f>USD!O87</f>
        <v>Смоленская область (не включая г. Смоленск)</v>
      </c>
      <c r="P86" s="88">
        <f>USD!P87</f>
        <v>100</v>
      </c>
      <c r="Q86" s="88">
        <f>USD!Q87</f>
        <v>85</v>
      </c>
      <c r="R86" s="176">
        <f>USD!R87</f>
        <v>0.85</v>
      </c>
      <c r="S86" s="176">
        <f>USD!S87</f>
        <v>0.85</v>
      </c>
      <c r="T86" s="176">
        <f>USD!T87</f>
        <v>0.7</v>
      </c>
      <c r="U86" s="176">
        <f>USD!U87</f>
        <v>0.85</v>
      </c>
      <c r="V86" s="176">
        <f>USD!V87</f>
        <v>0.7</v>
      </c>
      <c r="W86" s="176">
        <f>USD!W87</f>
        <v>0.85</v>
      </c>
      <c r="X86" s="176">
        <f>USD!X87</f>
        <v>0.95</v>
      </c>
      <c r="Y86" s="176">
        <f>USD!Y87</f>
        <v>1</v>
      </c>
      <c r="Z86" s="176">
        <f>USD!Z87</f>
        <v>0.9</v>
      </c>
      <c r="AA86" s="176">
        <f>USD!AA87</f>
        <v>0.85</v>
      </c>
    </row>
    <row r="87" spans="15:27" ht="11.25">
      <c r="O87" s="87" t="str">
        <f>USD!O88</f>
        <v>г. Смоленск</v>
      </c>
      <c r="P87" s="88">
        <f>USD!P88</f>
        <v>100</v>
      </c>
      <c r="Q87" s="88">
        <f>USD!Q88</f>
        <v>85</v>
      </c>
      <c r="R87" s="176">
        <f>USD!R88</f>
        <v>0.9</v>
      </c>
      <c r="S87" s="176">
        <f>USD!S88</f>
        <v>0.85</v>
      </c>
      <c r="T87" s="176">
        <f>USD!T88</f>
        <v>0.7</v>
      </c>
      <c r="U87" s="176">
        <f>USD!U88</f>
        <v>0.85</v>
      </c>
      <c r="V87" s="176">
        <f>USD!V88</f>
        <v>0.7</v>
      </c>
      <c r="W87" s="176">
        <f>USD!W88</f>
        <v>0.9</v>
      </c>
      <c r="X87" s="176">
        <f>USD!X88</f>
        <v>0.95</v>
      </c>
      <c r="Y87" s="176">
        <f>USD!Y88</f>
        <v>1</v>
      </c>
      <c r="Z87" s="176">
        <f>USD!Z88</f>
        <v>0.9</v>
      </c>
      <c r="AA87" s="176">
        <f>USD!AA88</f>
        <v>0.85</v>
      </c>
    </row>
    <row r="88" spans="15:27" ht="11.25">
      <c r="O88" s="87" t="str">
        <f>USD!O89</f>
        <v>Тульская область (не включая г. Тула и г. Новомосковск)</v>
      </c>
      <c r="P88" s="88">
        <f>USD!P89</f>
        <v>100</v>
      </c>
      <c r="Q88" s="88">
        <f>USD!Q89</f>
        <v>85</v>
      </c>
      <c r="R88" s="176">
        <f>USD!R89</f>
        <v>0.85</v>
      </c>
      <c r="S88" s="176">
        <f>USD!S89</f>
        <v>0.85</v>
      </c>
      <c r="T88" s="176">
        <f>USD!T89</f>
        <v>0.7</v>
      </c>
      <c r="U88" s="176">
        <f>USD!U89</f>
        <v>0.85</v>
      </c>
      <c r="V88" s="176">
        <f>USD!V89</f>
        <v>0.7</v>
      </c>
      <c r="W88" s="176">
        <f>USD!W89</f>
        <v>0.85</v>
      </c>
      <c r="X88" s="176">
        <f>USD!X89</f>
        <v>0.95</v>
      </c>
      <c r="Y88" s="176">
        <f>USD!Y89</f>
        <v>1</v>
      </c>
      <c r="Z88" s="176">
        <f>USD!Z89</f>
        <v>0.9</v>
      </c>
      <c r="AA88" s="176">
        <f>USD!AA89</f>
        <v>0.85</v>
      </c>
    </row>
    <row r="89" spans="15:27" ht="11.25">
      <c r="O89" s="87" t="str">
        <f>USD!O90</f>
        <v>г. Тула</v>
      </c>
      <c r="P89" s="88">
        <f>USD!P90</f>
        <v>100</v>
      </c>
      <c r="Q89" s="88">
        <f>USD!Q90</f>
        <v>85</v>
      </c>
      <c r="R89" s="176">
        <f>USD!R90</f>
        <v>0.9</v>
      </c>
      <c r="S89" s="176">
        <f>USD!S90</f>
        <v>0.85</v>
      </c>
      <c r="T89" s="176">
        <f>USD!T90</f>
        <v>0.7</v>
      </c>
      <c r="U89" s="176">
        <f>USD!U90</f>
        <v>0.85</v>
      </c>
      <c r="V89" s="176">
        <f>USD!V90</f>
        <v>0.7</v>
      </c>
      <c r="W89" s="176">
        <f>USD!W90</f>
        <v>0.9</v>
      </c>
      <c r="X89" s="176">
        <f>USD!X90</f>
        <v>0.95</v>
      </c>
      <c r="Y89" s="176">
        <f>USD!Y90</f>
        <v>1</v>
      </c>
      <c r="Z89" s="176">
        <f>USD!Z90</f>
        <v>0.9</v>
      </c>
      <c r="AA89" s="176">
        <f>USD!AA90</f>
        <v>0.85</v>
      </c>
    </row>
    <row r="90" spans="15:27" ht="11.25">
      <c r="O90" s="87" t="str">
        <f>USD!O91</f>
        <v>г. Новомосковск</v>
      </c>
      <c r="P90" s="88">
        <f>USD!P91</f>
        <v>100</v>
      </c>
      <c r="Q90" s="88">
        <f>USD!Q91</f>
        <v>85</v>
      </c>
      <c r="R90" s="176">
        <f>USD!R91</f>
        <v>0.9</v>
      </c>
      <c r="S90" s="176">
        <f>USD!S91</f>
        <v>0.85</v>
      </c>
      <c r="T90" s="176">
        <f>USD!T91</f>
        <v>0.7</v>
      </c>
      <c r="U90" s="176">
        <f>USD!U91</f>
        <v>0.85</v>
      </c>
      <c r="V90" s="176">
        <f>USD!V91</f>
        <v>0.7</v>
      </c>
      <c r="W90" s="176">
        <f>USD!W91</f>
        <v>0.9</v>
      </c>
      <c r="X90" s="176">
        <f>USD!X91</f>
        <v>0.95</v>
      </c>
      <c r="Y90" s="176">
        <f>USD!Y91</f>
        <v>1</v>
      </c>
      <c r="Z90" s="176">
        <f>USD!Z91</f>
        <v>0.9</v>
      </c>
      <c r="AA90" s="176">
        <f>USD!AA91</f>
        <v>0.85</v>
      </c>
    </row>
    <row r="91" spans="15:27" ht="11.25">
      <c r="O91" s="87" t="str">
        <f>USD!O92</f>
        <v>Тверская область (включая г. Тверь)</v>
      </c>
      <c r="P91" s="88">
        <f>USD!P92</f>
        <v>100</v>
      </c>
      <c r="Q91" s="88">
        <f>USD!Q92</f>
        <v>85</v>
      </c>
      <c r="R91" s="176">
        <f>USD!R92</f>
        <v>0.85</v>
      </c>
      <c r="S91" s="176">
        <f>USD!S92</f>
        <v>0.85</v>
      </c>
      <c r="T91" s="176">
        <f>USD!T92</f>
        <v>0.7</v>
      </c>
      <c r="U91" s="176">
        <f>USD!U92</f>
        <v>0.85</v>
      </c>
      <c r="V91" s="176">
        <f>USD!V92</f>
        <v>0.7</v>
      </c>
      <c r="W91" s="176">
        <f>USD!W92</f>
        <v>0.85</v>
      </c>
      <c r="X91" s="176">
        <f>USD!X92</f>
        <v>0.95</v>
      </c>
      <c r="Y91" s="176">
        <f>USD!Y92</f>
        <v>1</v>
      </c>
      <c r="Z91" s="176">
        <f>USD!Z92</f>
        <v>0.9</v>
      </c>
      <c r="AA91" s="176">
        <f>USD!AA92</f>
        <v>0.85</v>
      </c>
    </row>
    <row r="92" spans="15:27" ht="11.25">
      <c r="O92" s="87" t="str">
        <f>USD!O93</f>
        <v>Томская область (не включая г. Томск)</v>
      </c>
      <c r="P92" s="88">
        <f>USD!P93</f>
        <v>100</v>
      </c>
      <c r="Q92" s="88">
        <f>USD!Q93</f>
        <v>85</v>
      </c>
      <c r="R92" s="176">
        <f>USD!R93</f>
        <v>0.85</v>
      </c>
      <c r="S92" s="176">
        <f>USD!S93</f>
        <v>0.85</v>
      </c>
      <c r="T92" s="176">
        <f>USD!T93</f>
        <v>0.7</v>
      </c>
      <c r="U92" s="176">
        <f>USD!U93</f>
        <v>0.85</v>
      </c>
      <c r="V92" s="176">
        <f>USD!V93</f>
        <v>0.7</v>
      </c>
      <c r="W92" s="176">
        <f>USD!W93</f>
        <v>0.85</v>
      </c>
      <c r="X92" s="176">
        <f>USD!X93</f>
        <v>0.95</v>
      </c>
      <c r="Y92" s="176">
        <f>USD!Y93</f>
        <v>1</v>
      </c>
      <c r="Z92" s="176">
        <f>USD!Z93</f>
        <v>0.9</v>
      </c>
      <c r="AA92" s="176">
        <f>USD!AA93</f>
        <v>0.85</v>
      </c>
    </row>
    <row r="93" spans="15:27" ht="11.25">
      <c r="O93" s="87" t="str">
        <f>USD!O94</f>
        <v>г. Томск</v>
      </c>
      <c r="P93" s="88">
        <f>USD!P94</f>
        <v>100</v>
      </c>
      <c r="Q93" s="88">
        <f>USD!Q94</f>
        <v>85</v>
      </c>
      <c r="R93" s="176">
        <f>USD!R94</f>
        <v>0.9</v>
      </c>
      <c r="S93" s="176">
        <f>USD!S94</f>
        <v>0.85</v>
      </c>
      <c r="T93" s="176">
        <f>USD!T94</f>
        <v>0.7</v>
      </c>
      <c r="U93" s="176">
        <f>USD!U94</f>
        <v>0.85</v>
      </c>
      <c r="V93" s="176">
        <f>USD!V94</f>
        <v>0.7</v>
      </c>
      <c r="W93" s="176">
        <f>USD!W94</f>
        <v>0.9</v>
      </c>
      <c r="X93" s="176">
        <f>USD!X94</f>
        <v>0.95</v>
      </c>
      <c r="Y93" s="176">
        <f>USD!Y94</f>
        <v>1</v>
      </c>
      <c r="Z93" s="176">
        <f>USD!Z94</f>
        <v>0.9</v>
      </c>
      <c r="AA93" s="176">
        <f>USD!AA94</f>
        <v>0.85</v>
      </c>
    </row>
    <row r="94" spans="15:27" ht="11.25">
      <c r="O94" s="87" t="str">
        <f>USD!O95</f>
        <v>Тюменская область (не включая г. Тюмень)</v>
      </c>
      <c r="P94" s="88">
        <f>USD!P95</f>
        <v>100</v>
      </c>
      <c r="Q94" s="88">
        <f>USD!Q95</f>
        <v>85</v>
      </c>
      <c r="R94" s="176">
        <f>USD!R95</f>
        <v>0.85</v>
      </c>
      <c r="S94" s="176">
        <f>USD!S95</f>
        <v>0.85</v>
      </c>
      <c r="T94" s="176">
        <f>USD!T95</f>
        <v>0.7</v>
      </c>
      <c r="U94" s="176">
        <f>USD!U95</f>
        <v>0.85</v>
      </c>
      <c r="V94" s="176">
        <f>USD!V95</f>
        <v>0.7</v>
      </c>
      <c r="W94" s="176">
        <f>USD!W95</f>
        <v>0.85</v>
      </c>
      <c r="X94" s="176">
        <f>USD!X95</f>
        <v>0.95</v>
      </c>
      <c r="Y94" s="176">
        <f>USD!Y95</f>
        <v>1</v>
      </c>
      <c r="Z94" s="176">
        <f>USD!Z95</f>
        <v>0.9</v>
      </c>
      <c r="AA94" s="176">
        <f>USD!AA95</f>
        <v>0.85</v>
      </c>
    </row>
    <row r="95" spans="15:27" ht="11.25">
      <c r="O95" s="87" t="str">
        <f>USD!O96</f>
        <v>г. Тюмень</v>
      </c>
      <c r="P95" s="88">
        <f>USD!P96</f>
        <v>100</v>
      </c>
      <c r="Q95" s="88">
        <f>USD!Q96</f>
        <v>85</v>
      </c>
      <c r="R95" s="176">
        <f>USD!R96</f>
        <v>0.95</v>
      </c>
      <c r="S95" s="176">
        <f>USD!S96</f>
        <v>0.95</v>
      </c>
      <c r="T95" s="176">
        <f>USD!T96</f>
        <v>0.9</v>
      </c>
      <c r="U95" s="176">
        <f>USD!U96</f>
        <v>0.95</v>
      </c>
      <c r="V95" s="176">
        <f>USD!V96</f>
        <v>0.95</v>
      </c>
      <c r="W95" s="176">
        <f>USD!W96</f>
        <v>0.95</v>
      </c>
      <c r="X95" s="176">
        <f>USD!X96</f>
        <v>0.95</v>
      </c>
      <c r="Y95" s="176">
        <f>USD!Y96</f>
        <v>1</v>
      </c>
      <c r="Z95" s="176">
        <f>USD!Z96</f>
        <v>0.9</v>
      </c>
      <c r="AA95" s="176">
        <f>USD!AA96</f>
        <v>0.85</v>
      </c>
    </row>
    <row r="96" spans="15:27" ht="11.25">
      <c r="O96" s="87" t="str">
        <f>USD!O97</f>
        <v>Ульяновская область (не включая г. Ульяновск)</v>
      </c>
      <c r="P96" s="88">
        <f>USD!P97</f>
        <v>100</v>
      </c>
      <c r="Q96" s="88">
        <f>USD!Q97</f>
        <v>85</v>
      </c>
      <c r="R96" s="176">
        <f>USD!R97</f>
        <v>0.85</v>
      </c>
      <c r="S96" s="176">
        <f>USD!S97</f>
        <v>0.85</v>
      </c>
      <c r="T96" s="176">
        <f>USD!T97</f>
        <v>0.7</v>
      </c>
      <c r="U96" s="176">
        <f>USD!U97</f>
        <v>0.85</v>
      </c>
      <c r="V96" s="176">
        <f>USD!V97</f>
        <v>0.7</v>
      </c>
      <c r="W96" s="176">
        <f>USD!W97</f>
        <v>0.85</v>
      </c>
      <c r="X96" s="176">
        <f>USD!X97</f>
        <v>0.95</v>
      </c>
      <c r="Y96" s="176">
        <f>USD!Y97</f>
        <v>1</v>
      </c>
      <c r="Z96" s="176">
        <f>USD!Z97</f>
        <v>0.9</v>
      </c>
      <c r="AA96" s="176">
        <f>USD!AA97</f>
        <v>0.85</v>
      </c>
    </row>
    <row r="97" spans="15:27" ht="11.25">
      <c r="O97" s="87" t="str">
        <f>USD!O98</f>
        <v>г. Ульяновск</v>
      </c>
      <c r="P97" s="88">
        <f>USD!P98</f>
        <v>100</v>
      </c>
      <c r="Q97" s="88">
        <f>USD!Q98</f>
        <v>85</v>
      </c>
      <c r="R97" s="176">
        <f>USD!R98</f>
        <v>0.9</v>
      </c>
      <c r="S97" s="176">
        <f>USD!S98</f>
        <v>0.85</v>
      </c>
      <c r="T97" s="176">
        <f>USD!T98</f>
        <v>0.7</v>
      </c>
      <c r="U97" s="176">
        <f>USD!U98</f>
        <v>0.85</v>
      </c>
      <c r="V97" s="176">
        <f>USD!V98</f>
        <v>0.7</v>
      </c>
      <c r="W97" s="176">
        <f>USD!W98</f>
        <v>0.9</v>
      </c>
      <c r="X97" s="176">
        <f>USD!X98</f>
        <v>0.95</v>
      </c>
      <c r="Y97" s="176">
        <f>USD!Y98</f>
        <v>1</v>
      </c>
      <c r="Z97" s="176">
        <f>USD!Z98</f>
        <v>0.9</v>
      </c>
      <c r="AA97" s="176">
        <f>USD!AA98</f>
        <v>0.85</v>
      </c>
    </row>
    <row r="98" spans="15:27" ht="11.25">
      <c r="O98" s="87" t="str">
        <f>USD!O99</f>
        <v>Хабаровский край (не включая г. Хабаровск)</v>
      </c>
      <c r="P98" s="88">
        <f>USD!P99</f>
        <v>120</v>
      </c>
      <c r="Q98" s="88">
        <f>USD!Q99</f>
        <v>100</v>
      </c>
      <c r="R98" s="176">
        <f>USD!R99</f>
        <v>0.85</v>
      </c>
      <c r="S98" s="176">
        <f>USD!S99</f>
        <v>0.85</v>
      </c>
      <c r="T98" s="176">
        <f>USD!T99</f>
        <v>0.7</v>
      </c>
      <c r="U98" s="176">
        <f>USD!U99</f>
        <v>0.85</v>
      </c>
      <c r="V98" s="176">
        <f>USD!V99</f>
        <v>0.7</v>
      </c>
      <c r="W98" s="176">
        <f>USD!W99</f>
        <v>0.85</v>
      </c>
      <c r="X98" s="176">
        <f>USD!X99</f>
        <v>0.95</v>
      </c>
      <c r="Y98" s="176">
        <f>USD!Y99</f>
        <v>1</v>
      </c>
      <c r="Z98" s="176">
        <f>USD!Z99</f>
        <v>0.9</v>
      </c>
      <c r="AA98" s="176">
        <f>USD!AA99</f>
        <v>0.85</v>
      </c>
    </row>
    <row r="99" spans="15:27" ht="11.25">
      <c r="O99" s="87" t="str">
        <f>USD!O100</f>
        <v>г. Хабаровск</v>
      </c>
      <c r="P99" s="88">
        <f>USD!P100</f>
        <v>120</v>
      </c>
      <c r="Q99" s="88">
        <f>USD!Q100</f>
        <v>100</v>
      </c>
      <c r="R99" s="176">
        <f>USD!R100</f>
        <v>0.95</v>
      </c>
      <c r="S99" s="176">
        <f>USD!S100</f>
        <v>0.95</v>
      </c>
      <c r="T99" s="176">
        <f>USD!T100</f>
        <v>0.9</v>
      </c>
      <c r="U99" s="176">
        <f>USD!U100</f>
        <v>0.95</v>
      </c>
      <c r="V99" s="176">
        <f>USD!V100</f>
        <v>0.95</v>
      </c>
      <c r="W99" s="176">
        <f>USD!W100</f>
        <v>0.95</v>
      </c>
      <c r="X99" s="176">
        <f>USD!X100</f>
        <v>0.95</v>
      </c>
      <c r="Y99" s="176">
        <f>USD!Y100</f>
        <v>1</v>
      </c>
      <c r="Z99" s="176">
        <f>USD!Z100</f>
        <v>0.9</v>
      </c>
      <c r="AA99" s="176">
        <f>USD!AA100</f>
        <v>0.85</v>
      </c>
    </row>
    <row r="100" spans="15:27" ht="11.25">
      <c r="O100" s="87" t="str">
        <f>USD!O101</f>
        <v>Челябинская область (не включая г. Челябинск)</v>
      </c>
      <c r="P100" s="88">
        <f>USD!P101</f>
        <v>100</v>
      </c>
      <c r="Q100" s="88">
        <f>USD!Q101</f>
        <v>85</v>
      </c>
      <c r="R100" s="176">
        <f>USD!R101</f>
        <v>0.85</v>
      </c>
      <c r="S100" s="176">
        <f>USD!S101</f>
        <v>0.85</v>
      </c>
      <c r="T100" s="176">
        <f>USD!T101</f>
        <v>0.7</v>
      </c>
      <c r="U100" s="176">
        <f>USD!U101</f>
        <v>0.85</v>
      </c>
      <c r="V100" s="176">
        <f>USD!V101</f>
        <v>0.7</v>
      </c>
      <c r="W100" s="176">
        <f>USD!W101</f>
        <v>0.85</v>
      </c>
      <c r="X100" s="176">
        <f>USD!X101</f>
        <v>0.95</v>
      </c>
      <c r="Y100" s="176">
        <f>USD!Y101</f>
        <v>1</v>
      </c>
      <c r="Z100" s="176">
        <f>USD!Z101</f>
        <v>0.9</v>
      </c>
      <c r="AA100" s="176">
        <f>USD!AA101</f>
        <v>0.85</v>
      </c>
    </row>
    <row r="101" spans="15:27" ht="11.25">
      <c r="O101" s="87" t="str">
        <f>USD!O102</f>
        <v>г. Челябинск</v>
      </c>
      <c r="P101" s="88">
        <f>USD!P102</f>
        <v>100</v>
      </c>
      <c r="Q101" s="88">
        <f>USD!Q102</f>
        <v>85</v>
      </c>
      <c r="R101" s="176">
        <f>USD!R102</f>
        <v>0.9</v>
      </c>
      <c r="S101" s="176">
        <f>USD!S102</f>
        <v>0.85</v>
      </c>
      <c r="T101" s="176">
        <f>USD!T102</f>
        <v>0.7</v>
      </c>
      <c r="U101" s="176">
        <f>USD!U102</f>
        <v>0.85</v>
      </c>
      <c r="V101" s="176">
        <f>USD!V102</f>
        <v>0.7</v>
      </c>
      <c r="W101" s="176">
        <f>USD!W102</f>
        <v>0.9</v>
      </c>
      <c r="X101" s="176">
        <f>USD!X102</f>
        <v>0.95</v>
      </c>
      <c r="Y101" s="176">
        <f>USD!Y102</f>
        <v>1</v>
      </c>
      <c r="Z101" s="176">
        <f>USD!Z102</f>
        <v>0.9</v>
      </c>
      <c r="AA101" s="176">
        <f>USD!AA102</f>
        <v>0.85</v>
      </c>
    </row>
    <row r="102" spans="15:27" ht="11.25">
      <c r="O102" s="87" t="str">
        <f>USD!O103</f>
        <v>Чувашская республика (включая г. Чебоксары)</v>
      </c>
      <c r="P102" s="88">
        <f>USD!P103</f>
        <v>100</v>
      </c>
      <c r="Q102" s="88">
        <f>USD!Q103</f>
        <v>85</v>
      </c>
      <c r="R102" s="176">
        <f>USD!R103</f>
        <v>0.85</v>
      </c>
      <c r="S102" s="176">
        <f>USD!S103</f>
        <v>0.85</v>
      </c>
      <c r="T102" s="176">
        <f>USD!T103</f>
        <v>0.7</v>
      </c>
      <c r="U102" s="176">
        <f>USD!U103</f>
        <v>0.85</v>
      </c>
      <c r="V102" s="176">
        <f>USD!V103</f>
        <v>0.7</v>
      </c>
      <c r="W102" s="176">
        <f>USD!W103</f>
        <v>0.85</v>
      </c>
      <c r="X102" s="176">
        <f>USD!X103</f>
        <v>0.95</v>
      </c>
      <c r="Y102" s="176">
        <f>USD!Y103</f>
        <v>1</v>
      </c>
      <c r="Z102" s="176">
        <f>USD!Z103</f>
        <v>0.9</v>
      </c>
      <c r="AA102" s="176">
        <f>USD!AA103</f>
        <v>0.85</v>
      </c>
    </row>
    <row r="103" spans="15:27" ht="11.25">
      <c r="O103" s="87" t="str">
        <f>USD!O104</f>
        <v>Ярославская область (не включая г. Ярославль)</v>
      </c>
      <c r="P103" s="88">
        <f>USD!P104</f>
        <v>100</v>
      </c>
      <c r="Q103" s="88">
        <f>USD!Q104</f>
        <v>85</v>
      </c>
      <c r="R103" s="176">
        <f>USD!R104</f>
        <v>0.85</v>
      </c>
      <c r="S103" s="176">
        <f>USD!S104</f>
        <v>0.85</v>
      </c>
      <c r="T103" s="176">
        <f>USD!T104</f>
        <v>0.7</v>
      </c>
      <c r="U103" s="176">
        <f>USD!U104</f>
        <v>0.85</v>
      </c>
      <c r="V103" s="176">
        <f>USD!V104</f>
        <v>0.7</v>
      </c>
      <c r="W103" s="176">
        <f>USD!W104</f>
        <v>0.85</v>
      </c>
      <c r="X103" s="176">
        <f>USD!X104</f>
        <v>0.95</v>
      </c>
      <c r="Y103" s="176">
        <f>USD!Y104</f>
        <v>1</v>
      </c>
      <c r="Z103" s="176">
        <f>USD!Z104</f>
        <v>0.9</v>
      </c>
      <c r="AA103" s="176">
        <f>USD!AA104</f>
        <v>0.85</v>
      </c>
    </row>
    <row r="104" spans="15:27" ht="11.25">
      <c r="O104" s="87" t="str">
        <f>USD!O105</f>
        <v>г. Ярославль</v>
      </c>
      <c r="P104" s="88">
        <f>USD!P105</f>
        <v>100</v>
      </c>
      <c r="Q104" s="88">
        <f>USD!Q105</f>
        <v>85</v>
      </c>
      <c r="R104" s="176">
        <f>USD!R105</f>
        <v>0.9</v>
      </c>
      <c r="S104" s="176">
        <f>USD!S105</f>
        <v>0.85</v>
      </c>
      <c r="T104" s="176">
        <f>USD!T105</f>
        <v>0.7</v>
      </c>
      <c r="U104" s="176">
        <f>USD!U105</f>
        <v>0.85</v>
      </c>
      <c r="V104" s="176">
        <f>USD!V105</f>
        <v>0.7</v>
      </c>
      <c r="W104" s="176">
        <f>USD!W105</f>
        <v>0.9</v>
      </c>
      <c r="X104" s="176">
        <f>USD!X105</f>
        <v>0.95</v>
      </c>
      <c r="Y104" s="176">
        <f>USD!Y105</f>
        <v>1</v>
      </c>
      <c r="Z104" s="176">
        <f>USD!Z105</f>
        <v>0.9</v>
      </c>
      <c r="AA104" s="176">
        <f>USD!AA105</f>
        <v>0.85</v>
      </c>
    </row>
  </sheetData>
  <sheetProtection password="84F1" sheet="1" objects="1" scenarios="1"/>
  <mergeCells count="13">
    <mergeCell ref="B2:H2"/>
    <mergeCell ref="F4:G4"/>
    <mergeCell ref="H4:J4"/>
    <mergeCell ref="F5:H5"/>
    <mergeCell ref="A5:B5"/>
    <mergeCell ref="I5:J5"/>
    <mergeCell ref="W25:X25"/>
    <mergeCell ref="B18:H18"/>
    <mergeCell ref="I6:J6"/>
    <mergeCell ref="Y25:AA25"/>
    <mergeCell ref="F6:H6"/>
    <mergeCell ref="A6:B6"/>
    <mergeCell ref="U25:V25"/>
  </mergeCells>
  <dataValidations count="4">
    <dataValidation type="whole" operator="lessThanOrEqual" allowBlank="1" showErrorMessage="1" promptTitle="ошибка " errorTitle="Ошибка ввода" error="Срок кредита не может быть более 25 лет." sqref="C5">
      <formula1>25</formula1>
    </dataValidation>
    <dataValidation type="list" allowBlank="1" showInputMessage="1" showErrorMessage="1" sqref="H4:J4">
      <formula1>$S$4:$S$5</formula1>
    </dataValidation>
    <dataValidation type="decimal" operator="lessThanOrEqual" allowBlank="1" showInputMessage="1" showErrorMessage="1" sqref="B18:H18">
      <formula1>1</formula1>
    </dataValidation>
    <dataValidation type="list" allowBlank="1" showInputMessage="1" showErrorMessage="1" sqref="B2:H2">
      <formula1>$O$27:$O$104</formula1>
    </dataValidation>
  </dataValidations>
  <printOptions/>
  <pageMargins left="0.75" right="0.75" top="1" bottom="1" header="0.5" footer="0.5"/>
  <pageSetup orientation="portrait" paperSize="9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2:AA104"/>
  <sheetViews>
    <sheetView workbookViewId="0" topLeftCell="A1">
      <selection activeCell="B4" sqref="B4"/>
    </sheetView>
  </sheetViews>
  <sheetFormatPr defaultColWidth="9.00390625" defaultRowHeight="12.75"/>
  <cols>
    <col min="1" max="1" width="28.875" style="78" customWidth="1"/>
    <col min="2" max="2" width="16.75390625" style="79" customWidth="1"/>
    <col min="3" max="3" width="6.625" style="79" customWidth="1"/>
    <col min="4" max="4" width="16.75390625" style="79" customWidth="1"/>
    <col min="5" max="5" width="6.625" style="79" customWidth="1"/>
    <col min="6" max="6" width="16.75390625" style="79" customWidth="1"/>
    <col min="7" max="7" width="6.625" style="79" customWidth="1"/>
    <col min="8" max="8" width="16.75390625" style="79" customWidth="1"/>
    <col min="9" max="9" width="6.625" style="79" customWidth="1"/>
    <col min="10" max="10" width="16.75390625" style="79" customWidth="1"/>
    <col min="11" max="11" width="6.875" style="79" customWidth="1"/>
    <col min="12" max="12" width="19.00390625" style="79" bestFit="1" customWidth="1"/>
    <col min="13" max="13" width="9.125" style="79" customWidth="1"/>
    <col min="14" max="14" width="21.125" style="79" hidden="1" customWidth="1"/>
    <col min="15" max="15" width="0" style="79" hidden="1" customWidth="1"/>
    <col min="16" max="16" width="12.75390625" style="79" hidden="1" customWidth="1"/>
    <col min="17" max="17" width="13.375" style="79" hidden="1" customWidth="1"/>
    <col min="18" max="18" width="12.75390625" style="79" hidden="1" customWidth="1"/>
    <col min="19" max="19" width="0" style="79" hidden="1" customWidth="1"/>
    <col min="20" max="20" width="12.125" style="79" hidden="1" customWidth="1"/>
    <col min="21" max="21" width="10.875" style="79" hidden="1" customWidth="1"/>
    <col min="22" max="27" width="0" style="79" hidden="1" customWidth="1"/>
    <col min="28" max="16384" width="9.125" style="79" customWidth="1"/>
  </cols>
  <sheetData>
    <row r="1" ht="9" customHeight="1" thickBot="1"/>
    <row r="2" spans="1:15" ht="17.25" thickBot="1" thickTop="1">
      <c r="A2" s="31" t="s">
        <v>26</v>
      </c>
      <c r="B2" s="200" t="s">
        <v>112</v>
      </c>
      <c r="C2" s="201"/>
      <c r="D2" s="201"/>
      <c r="E2" s="201"/>
      <c r="F2" s="201"/>
      <c r="G2" s="201"/>
      <c r="H2" s="202"/>
      <c r="J2" s="32">
        <f>O2</f>
        <v>100</v>
      </c>
      <c r="O2" s="126">
        <f>IF(B5&gt;=USD!V114,O6,O5)</f>
        <v>100</v>
      </c>
    </row>
    <row r="3" ht="9" customHeight="1" thickBot="1" thickTop="1"/>
    <row r="4" spans="1:17" ht="17.25" thickBot="1" thickTop="1">
      <c r="A4" s="31" t="s">
        <v>0</v>
      </c>
      <c r="B4" s="33">
        <v>10</v>
      </c>
      <c r="C4" s="54" t="s">
        <v>1</v>
      </c>
      <c r="F4" s="252" t="s">
        <v>62</v>
      </c>
      <c r="G4" s="253"/>
      <c r="H4" s="249" t="s">
        <v>21</v>
      </c>
      <c r="I4" s="250"/>
      <c r="J4" s="251"/>
      <c r="K4" s="144"/>
      <c r="L4" s="144"/>
      <c r="M4" s="145"/>
      <c r="N4" s="145"/>
      <c r="P4" s="79">
        <v>1</v>
      </c>
      <c r="Q4" s="77" t="s">
        <v>22</v>
      </c>
    </row>
    <row r="5" spans="1:19" ht="17.25" thickBot="1" thickTop="1">
      <c r="A5" s="74" t="s">
        <v>3</v>
      </c>
      <c r="B5" s="33">
        <v>3</v>
      </c>
      <c r="D5" s="239" t="s">
        <v>17</v>
      </c>
      <c r="E5" s="239"/>
      <c r="F5" s="239"/>
      <c r="G5" s="239"/>
      <c r="H5" s="261"/>
      <c r="I5" s="247">
        <f>IF(H4=Q5,Q9,Q8)</f>
        <v>0.084</v>
      </c>
      <c r="J5" s="248"/>
      <c r="K5" s="147"/>
      <c r="L5" s="147"/>
      <c r="N5" s="77"/>
      <c r="O5" s="172">
        <f>VLOOKUP(B2,O27:P104,2,FALSE)</f>
        <v>100</v>
      </c>
      <c r="P5" s="79">
        <v>2</v>
      </c>
      <c r="Q5" s="77" t="s">
        <v>21</v>
      </c>
      <c r="S5" s="77"/>
    </row>
    <row r="6" spans="1:15" ht="17.25" thickBot="1" thickTop="1">
      <c r="A6" s="74" t="s">
        <v>15</v>
      </c>
      <c r="B6" s="33">
        <v>12</v>
      </c>
      <c r="C6" s="169" t="s">
        <v>64</v>
      </c>
      <c r="D6" s="262" t="s">
        <v>18</v>
      </c>
      <c r="E6" s="262"/>
      <c r="F6" s="262"/>
      <c r="G6" s="262"/>
      <c r="H6" s="261"/>
      <c r="I6" s="205">
        <f>I5+USD!P153</f>
        <v>0.1</v>
      </c>
      <c r="J6" s="193"/>
      <c r="N6" s="172">
        <f>O2*B5</f>
        <v>300</v>
      </c>
      <c r="O6" s="172">
        <f>VLOOKUP(B2,O27:Q104,3,FALSE)</f>
        <v>85</v>
      </c>
    </row>
    <row r="7" spans="1:10" ht="9" customHeight="1" thickTop="1">
      <c r="A7" s="165"/>
      <c r="B7" s="159"/>
      <c r="C7" s="166"/>
      <c r="D7" s="146"/>
      <c r="E7" s="148"/>
      <c r="F7" s="149"/>
      <c r="G7" s="150"/>
      <c r="H7" s="160"/>
      <c r="I7" s="150"/>
      <c r="J7" s="150"/>
    </row>
    <row r="8" spans="2:17" ht="25.5">
      <c r="B8" s="27" t="s">
        <v>4</v>
      </c>
      <c r="C8" s="34"/>
      <c r="D8" s="27" t="s">
        <v>5</v>
      </c>
      <c r="E8" s="34"/>
      <c r="F8" s="27" t="s">
        <v>6</v>
      </c>
      <c r="G8" s="34"/>
      <c r="H8" s="27" t="s">
        <v>8</v>
      </c>
      <c r="I8" s="34"/>
      <c r="J8" s="27" t="s">
        <v>7</v>
      </c>
      <c r="L8" s="124"/>
      <c r="O8" s="79">
        <f>VLOOKUP(B2,O27:X104,10,FALSE)</f>
        <v>0.95</v>
      </c>
      <c r="Q8" s="79">
        <f>IF(B4&lt;=USD!O148,IF(J21&lt;USD!P146,USD!P148,IF(J21&lt;USD!Q146,USD!Q148,IF(J21&lt;USD!R146,USD!R148,USD!S148))),IF(B4&lt;=USD!O149,IF(J21&lt;USD!P146,USD!P149,IF(J21&lt;USD!Q146,USD!Q149,IF(J21&lt;USD!R146,USD!R149,USD!S149))),IF(B4&lt;=USD!O150,IF(J21&lt;USD!P146,USD!P150,IF(J21&lt;USD!Q146,USD!Q150,IF(J21&lt;USD!R146,USD!R150,USD!S150))),IF(B4&lt;=USD!O151,IF(J21&lt;USD!P146,USD!P151,IF(J21&lt;USD!Q146,USD!Q151,IF(J21&lt;USD!R146,USD!R151,USD!S151))),IF(B4&lt;=USD!O152,IF(J21&lt;USD!P146,USD!P152,IF(J21&lt;USD!Q146,USD!Q152,IF(J21&lt;USD!R146,USD!R152,USD!S152))),10)))))</f>
        <v>0.084</v>
      </c>
    </row>
    <row r="9" spans="2:17" ht="9" customHeight="1" thickBot="1">
      <c r="B9" s="151"/>
      <c r="D9" s="151"/>
      <c r="F9" s="151"/>
      <c r="J9" s="151"/>
      <c r="Q9" s="79">
        <f>IF(B4&lt;=USD!O148,IF(B21&lt;USD!P146,USD!P148,IF(B21&lt;USD!Q146,USD!Q148,IF(B21&lt;USD!R146,USD!R148,USD!S148))),IF(B4&lt;=USD!O149,IF(B21&lt;USD!P146,USD!P149,IF(B21&lt;USD!Q146,USD!Q149,IF(B21&lt;USD!R146,USD!R149,USD!S149))),IF(B4&lt;=USD!O150,IF(B21&lt;USD!P146,USD!P150,IF(B21&lt;USD!Q146,USD!Q150,IF(B21&lt;USD!R146,USD!R150,USD!S150))),IF(B4&lt;=USD!O151,IF(B21&lt;USD!P146,USD!P151,IF(B21&lt;USD!Q146,USD!Q151,IF(B21&lt;USD!R146,USD!R151,USD!S151))),IF(B4&lt;=USD!O152,IF(B21&lt;USD!P146,USD!P152,IF(B21&lt;USD!Q146,USD!Q152,IF(B21&lt;USD!R146,USD!R152,USD!S152))),10)))))</f>
        <v>0.084</v>
      </c>
    </row>
    <row r="10" spans="1:12" ht="27" customHeight="1" thickBot="1" thickTop="1">
      <c r="A10" s="31" t="s">
        <v>9</v>
      </c>
      <c r="B10" s="39">
        <v>100000</v>
      </c>
      <c r="C10" s="126"/>
      <c r="D10" s="41">
        <f>IF(H4=Q5,D12/O8,0)</f>
        <v>100000</v>
      </c>
      <c r="E10" s="126"/>
      <c r="F10" s="41">
        <f>IF(H4=Q5,F12/O8,0)</f>
        <v>99965.26315789475</v>
      </c>
      <c r="G10" s="126"/>
      <c r="H10" s="42">
        <f>IF(H4=Q5,H23/(1-O8),0)</f>
        <v>299999.9999999997</v>
      </c>
      <c r="I10" s="126"/>
      <c r="J10" s="41">
        <f>IF(H4=Q5,0,J12/O8)</f>
        <v>0</v>
      </c>
      <c r="K10" s="126"/>
      <c r="L10" s="128"/>
    </row>
    <row r="11" spans="2:12" ht="9" customHeight="1" thickBot="1" thickTop="1">
      <c r="B11" s="126"/>
      <c r="C11" s="126"/>
      <c r="D11" s="126"/>
      <c r="E11" s="126"/>
      <c r="F11" s="126"/>
      <c r="G11" s="126"/>
      <c r="H11" s="126"/>
      <c r="I11" s="126"/>
      <c r="J11" s="126"/>
      <c r="K11" s="126"/>
      <c r="L11" s="152"/>
    </row>
    <row r="12" spans="1:21" s="83" customFormat="1" ht="27" customHeight="1" thickBot="1" thickTop="1">
      <c r="A12" s="31" t="s">
        <v>10</v>
      </c>
      <c r="B12" s="43">
        <f>IF(H4=Q5,B10*O8,0)</f>
        <v>95000</v>
      </c>
      <c r="C12" s="153"/>
      <c r="D12" s="44">
        <v>95000</v>
      </c>
      <c r="E12" s="127"/>
      <c r="F12" s="43">
        <f>IF(H4=Q5,ROUND(F14/(($I$6/12)/(1-(1+($I$6/12))^-($B$4*12))),0),0)</f>
        <v>94967</v>
      </c>
      <c r="G12" s="127"/>
      <c r="H12" s="45">
        <f>IF(H4=Q5,H10-H23,0)</f>
        <v>284999.9999999997</v>
      </c>
      <c r="I12" s="127"/>
      <c r="J12" s="43">
        <f>IF(H4=Q5,0,ROUND(ROUND(J14,0)/(($I$6/12)/(1-(1+($I$6/12))^-($B$4*12))),0))</f>
        <v>0</v>
      </c>
      <c r="K12" s="127"/>
      <c r="L12" s="154"/>
      <c r="N12" s="81">
        <f>(B14+$N$6)/USD!$T$123</f>
        <v>2591.666666666667</v>
      </c>
      <c r="O12" s="81">
        <f>B14/USD!$S$123</f>
        <v>3137.5</v>
      </c>
      <c r="P12" s="81">
        <f>(D14+$N$6)/USD!$T$123</f>
        <v>2591.666666666667</v>
      </c>
      <c r="Q12" s="81">
        <f>D14/USD!$S$123</f>
        <v>3137.5</v>
      </c>
      <c r="R12" s="81">
        <f>(F14+$N$6)/USD!$T$123</f>
        <v>2591.666666666667</v>
      </c>
      <c r="S12" s="81">
        <f>F14/USD!$S$123</f>
        <v>3137.5</v>
      </c>
      <c r="T12" s="81">
        <f>(H14+$N$6)/USD!$T$123</f>
        <v>6776.666666666667</v>
      </c>
      <c r="U12" s="81">
        <f>H14/USD!$S$123</f>
        <v>9415</v>
      </c>
    </row>
    <row r="13" spans="1:21" ht="9" customHeight="1" thickBot="1" thickTop="1">
      <c r="A13" s="82"/>
      <c r="B13" s="127"/>
      <c r="C13" s="127"/>
      <c r="D13" s="127"/>
      <c r="E13" s="126"/>
      <c r="F13" s="127"/>
      <c r="G13" s="126"/>
      <c r="H13" s="127"/>
      <c r="I13" s="126"/>
      <c r="J13" s="127"/>
      <c r="K13" s="126"/>
      <c r="L13" s="155"/>
      <c r="N13" s="80"/>
      <c r="O13" s="81">
        <f>USD!$R$123+0.01</f>
        <v>1000.01</v>
      </c>
      <c r="P13" s="80"/>
      <c r="Q13" s="81">
        <f>USD!$R$123+0.01</f>
        <v>1000.01</v>
      </c>
      <c r="R13" s="80"/>
      <c r="S13" s="81">
        <f>USD!$R$123+0.01</f>
        <v>1000.01</v>
      </c>
      <c r="T13" s="80"/>
      <c r="U13" s="81">
        <f>USD!$R$123+0.01</f>
        <v>1000.01</v>
      </c>
    </row>
    <row r="14" spans="1:21" s="85" customFormat="1" ht="27" customHeight="1" thickBot="1" thickTop="1">
      <c r="A14" s="37" t="s">
        <v>11</v>
      </c>
      <c r="B14" s="46">
        <f>ROUND(B12*(($I$6/12)/(1-(1+($I$6/12))^-($B$4*12))),0)</f>
        <v>1255</v>
      </c>
      <c r="C14" s="155"/>
      <c r="D14" s="46">
        <f>IF(H4=Q5,ROUND(D12*(($I$6/12)/(1-(1+($I$6/12))^-($B$4*12))),0),0)</f>
        <v>1255</v>
      </c>
      <c r="E14" s="152"/>
      <c r="F14" s="48">
        <v>1255</v>
      </c>
      <c r="G14" s="152"/>
      <c r="H14" s="46">
        <f>IF(H4=Q5,ROUND(H12*(($I$6/12)/(1-(1+($I$6/12))^-($B$4*12))),0),0)</f>
        <v>3766</v>
      </c>
      <c r="I14" s="152"/>
      <c r="J14" s="46">
        <f>IF(J18=0,0,IF(J18&lt;=1000,MIN(J18*0.6-N6,J18*0.4),IF(J18&lt;=2000,MIN(J18*0.65-N6,J18*0.45),IF(J18&lt;=3000,MIN(J18*0.7-N6,J18*0.5),IF(N6&lt;=6000,MIN(J18*0.75-N6,J18*0.55),IF(J18&lt;=9000,MIN(J18*0.8-N6,J18*0.6),IF(J18&lt;=12000,MIN(J18*0.85-N6,J18*0.65),MIN(J18*0.9-N6,J18*0.7))))))))</f>
        <v>0</v>
      </c>
      <c r="K14" s="152"/>
      <c r="L14" s="128"/>
      <c r="N14" s="81">
        <f>(B14+$N$6)/USD!$T$124</f>
        <v>2392.3076923076924</v>
      </c>
      <c r="O14" s="81">
        <f>B14/USD!$S$124</f>
        <v>2788.8888888888887</v>
      </c>
      <c r="P14" s="81">
        <f>(D14+$N$6)/USD!$T$124</f>
        <v>2392.3076923076924</v>
      </c>
      <c r="Q14" s="81">
        <f>D14/USD!$S$124</f>
        <v>2788.8888888888887</v>
      </c>
      <c r="R14" s="81">
        <f>(F14+$N$6)/USD!$T$124</f>
        <v>2392.3076923076924</v>
      </c>
      <c r="S14" s="81">
        <f>F14/USD!$S$124</f>
        <v>2788.8888888888887</v>
      </c>
      <c r="T14" s="81">
        <f>(H14+$N$6)/USD!$T$124</f>
        <v>6255.384615384615</v>
      </c>
      <c r="U14" s="81">
        <f>H14/USD!$S$124</f>
        <v>8368.888888888889</v>
      </c>
    </row>
    <row r="15" spans="2:21" ht="9" customHeight="1" thickTop="1">
      <c r="B15" s="126"/>
      <c r="C15" s="126"/>
      <c r="D15" s="126"/>
      <c r="E15" s="126"/>
      <c r="F15" s="126"/>
      <c r="G15" s="126"/>
      <c r="H15" s="126"/>
      <c r="I15" s="126"/>
      <c r="J15" s="126"/>
      <c r="K15" s="126"/>
      <c r="L15" s="152"/>
      <c r="N15" s="81"/>
      <c r="O15" s="81">
        <f>USD!$R$124+0.01</f>
        <v>2000.01</v>
      </c>
      <c r="P15" s="81"/>
      <c r="Q15" s="81">
        <f>USD!$R$124+0.01</f>
        <v>2000.01</v>
      </c>
      <c r="R15" s="81"/>
      <c r="S15" s="81">
        <f>USD!$R$124+0.01</f>
        <v>2000.01</v>
      </c>
      <c r="T15" s="81"/>
      <c r="U15" s="81">
        <f>USD!$R$124+0.01</f>
        <v>2000.01</v>
      </c>
    </row>
    <row r="16" spans="1:21" ht="27" customHeight="1">
      <c r="A16" s="38" t="s">
        <v>66</v>
      </c>
      <c r="B16" s="46">
        <f>B25*(($I$5/12)/(1-(1+($I$5/12))^-($B$4*12-$B$6)))</f>
        <v>1186.2702762999504</v>
      </c>
      <c r="C16" s="23"/>
      <c r="D16" s="46">
        <f>IF(H4=Q5,D25*(($I$5/12)/(1-(1+($I$5/12))^-($B$4*12-$B$6))),0)</f>
        <v>1186.2702762999504</v>
      </c>
      <c r="E16" s="126"/>
      <c r="F16" s="46">
        <f>IF(H4=Q5,F25*(($I$5/12)/(1-(1+($I$5/12))^-($B$4*12-$B$6))),0)</f>
        <v>1185.792064415348</v>
      </c>
      <c r="G16" s="152"/>
      <c r="H16" s="46">
        <f>H25*(($I$5/12)/(1-(1+($I$5/12))^-($B$4*12-$B$6)))</f>
        <v>3558.6591155129254</v>
      </c>
      <c r="I16" s="152"/>
      <c r="J16" s="46">
        <f>J25*(($I$5/12)/(1-(1+($I$5/12))^-($B$4*12-$B$6)))</f>
        <v>0</v>
      </c>
      <c r="K16" s="126"/>
      <c r="L16" s="152"/>
      <c r="N16" s="81">
        <f>(B14+$N$6)/USD!$T$125</f>
        <v>2221.4285714285716</v>
      </c>
      <c r="O16" s="81">
        <f>B14/USD!$S$125</f>
        <v>2510</v>
      </c>
      <c r="P16" s="81">
        <f>(D14+$N$6)/USD!$T$125</f>
        <v>2221.4285714285716</v>
      </c>
      <c r="Q16" s="81">
        <f>D14/USD!$S$125</f>
        <v>2510</v>
      </c>
      <c r="R16" s="81">
        <f>(F14+$N$6)/USD!$T$125</f>
        <v>2221.4285714285716</v>
      </c>
      <c r="S16" s="81">
        <f>F14/USD!$S$125</f>
        <v>2510</v>
      </c>
      <c r="T16" s="81">
        <f>(H14+$N$6)/USD!$T$125</f>
        <v>5808.571428571429</v>
      </c>
      <c r="U16" s="81">
        <f>H14/USD!$S$125</f>
        <v>7532</v>
      </c>
    </row>
    <row r="17" spans="2:21" ht="9" customHeight="1" thickBot="1">
      <c r="B17" s="126"/>
      <c r="C17" s="126"/>
      <c r="D17" s="126"/>
      <c r="E17" s="126"/>
      <c r="F17" s="126"/>
      <c r="G17" s="126"/>
      <c r="H17" s="126"/>
      <c r="I17" s="126"/>
      <c r="J17" s="126"/>
      <c r="K17" s="126"/>
      <c r="L17" s="152"/>
      <c r="N17" s="81"/>
      <c r="O17" s="81">
        <f>USD!$R$125+0.01</f>
        <v>3000.01</v>
      </c>
      <c r="P17" s="81"/>
      <c r="Q17" s="81">
        <f>USD!$R$125+0.01</f>
        <v>3000.01</v>
      </c>
      <c r="R17" s="81"/>
      <c r="S17" s="81">
        <f>USD!$R$125+0.01</f>
        <v>3000.01</v>
      </c>
      <c r="T17" s="81"/>
      <c r="U17" s="81">
        <f>USD!$R$125+0.01</f>
        <v>3000.01</v>
      </c>
    </row>
    <row r="18" spans="1:21" ht="27" customHeight="1" thickBot="1" thickTop="1">
      <c r="A18" s="38" t="s">
        <v>12</v>
      </c>
      <c r="B18" s="49">
        <f>IF(B10=0,0,IF(MAX(N12:O12)&lt;=USD!$R$123,MAX(N12:O12),IF(MAX(N14:O14)&lt;=USD!$R$124,MAX(N13:O14),IF(MAX(N16:O16)&lt;=USD!$R$125,MAX(N15:O16),IF(MAX(N18:O18)&lt;=USD!$R$126,MAX(N17:O18),IF(MAX(N20:O20)&lt;=USD!$R$127,MAX(N19:O20),IF(MAX(N22:O22)&lt;=USD!$R$128,MAX(N21:O22),MAX(N23:O24))))))))</f>
        <v>2510</v>
      </c>
      <c r="C18" s="157"/>
      <c r="D18" s="49">
        <f>IF(D10=0,0,IF(MAX(P12:Q12)&lt;=USD!$R$123,MAX(P12:Q12),IF(MAX(P14:Q14)&lt;=USD!$R$124,MAX(P13:Q14),IF(MAX(P16:Q16)&lt;=USD!$R$125,MAX(P15:Q16),IF(MAX(P18:Q18)&lt;=USD!$R$126,MAX(P17:Q18),IF(MAX(P20:Q20)&lt;=USD!$R$127,MAX(P19:Q20),IF(MAX(P22:Q22)&lt;=USD!$R$128,MAX(P21:Q22),MAX(P23:Q24))))))))</f>
        <v>2510</v>
      </c>
      <c r="E18" s="126"/>
      <c r="F18" s="49">
        <f>IF(F10=0,0,IF(MAX(R12:S12)&lt;=USD!$R$123,MAX(R12:S12),IF(MAX(R14:S14)&lt;=USD!$R$124,MAX(R13:S14),IF(MAX(R16:S16)&lt;=USD!$R$125,MAX(R15:S16),IF(MAX(R18:S18)&lt;=USD!$R$126,MAX(R17:S18),IF(MAX(R20:S20)&lt;=USD!$R$127,MAX(R19:S20),IF(MAX(R22:S22)&lt;=USD!$R$128,MAX(R21:S22),MAX(R23:S24))))))))</f>
        <v>2510</v>
      </c>
      <c r="G18" s="126"/>
      <c r="H18" s="49">
        <f>IF(H10=0,0,IF(MAX(T12:U12)&lt;=USD!$R$123,MAX(T12:U12),IF(MAX(T14:U14)&lt;=USD!$R$124,MAX(T13:U14),IF(MAX(T16:U16)&lt;=USD!$R$125,MAX(T15:U16),IF(MAX(T18:U18)&lt;=USD!$R$126,MAX(T17:U18),IF(MAX(T20:U20)&lt;=USD!$R$127,MAX(T19:U20),IF(MAX(T22:U22)&lt;=USD!$R$128,MAX(T21:U22),MAX(T23:U24))))))))</f>
        <v>6276.666666666667</v>
      </c>
      <c r="I18" s="126"/>
      <c r="J18" s="161">
        <f>IF(H4=Q5,0,J19+J20)</f>
        <v>0</v>
      </c>
      <c r="K18" s="126"/>
      <c r="L18" s="128"/>
      <c r="N18" s="81">
        <f>(B14+$N$6)/USD!$T$126</f>
        <v>2073.3333333333335</v>
      </c>
      <c r="O18" s="81">
        <f>B14/USD!$S$126</f>
        <v>2281.8181818181815</v>
      </c>
      <c r="P18" s="81">
        <f>(D14+$N$6)/USD!$T$126</f>
        <v>2073.3333333333335</v>
      </c>
      <c r="Q18" s="81">
        <f>D14/USD!$S$126</f>
        <v>2281.8181818181815</v>
      </c>
      <c r="R18" s="81">
        <f>(F14+$N$6)/USD!$T$126</f>
        <v>2073.3333333333335</v>
      </c>
      <c r="S18" s="81">
        <f>F14/USD!$S$126</f>
        <v>2281.8181818181815</v>
      </c>
      <c r="T18" s="81">
        <f>(H14+$N$6)/USD!$T$126</f>
        <v>5421.333333333333</v>
      </c>
      <c r="U18" s="81">
        <f>H14/USD!$S$126</f>
        <v>6847.272727272727</v>
      </c>
    </row>
    <row r="19" spans="1:21" ht="27" customHeight="1" thickBot="1" thickTop="1">
      <c r="A19" s="38" t="s">
        <v>59</v>
      </c>
      <c r="B19" s="128"/>
      <c r="C19" s="157"/>
      <c r="D19" s="128"/>
      <c r="E19" s="152"/>
      <c r="F19" s="128"/>
      <c r="G19" s="152"/>
      <c r="H19" s="128"/>
      <c r="I19" s="152"/>
      <c r="J19" s="51">
        <v>2510</v>
      </c>
      <c r="K19" s="152"/>
      <c r="L19" s="128"/>
      <c r="O19" s="81">
        <f>USD!$R$126+0.01</f>
        <v>6000.01</v>
      </c>
      <c r="Q19" s="81">
        <f>USD!$R$126+0.01</f>
        <v>6000.01</v>
      </c>
      <c r="S19" s="81">
        <f>USD!$R$126+0.01</f>
        <v>6000.01</v>
      </c>
      <c r="U19" s="81">
        <f>USD!$R$126+0.01</f>
        <v>6000.01</v>
      </c>
    </row>
    <row r="20" spans="1:21" ht="27" customHeight="1" thickBot="1" thickTop="1">
      <c r="A20" s="38" t="s">
        <v>60</v>
      </c>
      <c r="B20" s="128"/>
      <c r="C20" s="157"/>
      <c r="D20" s="128"/>
      <c r="E20" s="152"/>
      <c r="F20" s="128"/>
      <c r="G20" s="152"/>
      <c r="H20" s="128"/>
      <c r="I20" s="152"/>
      <c r="J20" s="51">
        <v>0</v>
      </c>
      <c r="K20" s="152"/>
      <c r="L20" s="128"/>
      <c r="N20" s="81">
        <f>(B14+$N$6)/USD!$T$127</f>
        <v>1943.75</v>
      </c>
      <c r="O20" s="81">
        <f>B14/USD!$S$127</f>
        <v>2091.666666666667</v>
      </c>
      <c r="P20" s="81">
        <f>(D14+$N$6)/USD!$T$127</f>
        <v>1943.75</v>
      </c>
      <c r="Q20" s="81">
        <f>D14/USD!$S$127</f>
        <v>2091.666666666667</v>
      </c>
      <c r="R20" s="81">
        <f>(F14+$N$6)/USD!$T$127</f>
        <v>1943.75</v>
      </c>
      <c r="S20" s="81">
        <f>F14/USD!$S$127</f>
        <v>2091.666666666667</v>
      </c>
      <c r="T20" s="81">
        <f>(H14+$N$6)/USD!$T$127</f>
        <v>5082.5</v>
      </c>
      <c r="U20" s="81">
        <f>H14/USD!$S$127</f>
        <v>6276.666666666667</v>
      </c>
    </row>
    <row r="21" spans="1:21" ht="27" customHeight="1" thickBot="1" thickTop="1">
      <c r="A21" s="38" t="s">
        <v>61</v>
      </c>
      <c r="B21" s="256">
        <v>1</v>
      </c>
      <c r="C21" s="263"/>
      <c r="D21" s="263"/>
      <c r="E21" s="263"/>
      <c r="F21" s="263"/>
      <c r="G21" s="263"/>
      <c r="H21" s="264"/>
      <c r="I21" s="152"/>
      <c r="J21" s="162">
        <f>J19/(J19+J20)</f>
        <v>1</v>
      </c>
      <c r="K21" s="152"/>
      <c r="L21" s="128"/>
      <c r="O21" s="81">
        <f>USD!$R$127+0.01</f>
        <v>9000.01</v>
      </c>
      <c r="Q21" s="81">
        <f>USD!$R$127+0.01</f>
        <v>9000.01</v>
      </c>
      <c r="S21" s="81">
        <f>USD!$R$127+0.01</f>
        <v>9000.01</v>
      </c>
      <c r="U21" s="81">
        <f>USD!$R$127+0.01</f>
        <v>9000.01</v>
      </c>
    </row>
    <row r="22" spans="3:21" ht="9" customHeight="1" thickBot="1">
      <c r="C22" s="126"/>
      <c r="D22" s="126"/>
      <c r="E22" s="126"/>
      <c r="F22" s="126"/>
      <c r="G22" s="126"/>
      <c r="H22" s="126"/>
      <c r="I22" s="126"/>
      <c r="J22" s="126"/>
      <c r="K22" s="126"/>
      <c r="L22" s="152"/>
      <c r="N22" s="81">
        <f>(B14+$N$6)/USD!$T$128</f>
        <v>1829.4117647058824</v>
      </c>
      <c r="O22" s="81">
        <f>B14/USD!$S$128</f>
        <v>1930.7692307692307</v>
      </c>
      <c r="P22" s="81">
        <f>(D14+$N$6)/USD!$T$128</f>
        <v>1829.4117647058824</v>
      </c>
      <c r="Q22" s="81">
        <f>D14/USD!$S$128</f>
        <v>1930.7692307692307</v>
      </c>
      <c r="R22" s="81">
        <f>(F14+$N$6)/USD!$T$128</f>
        <v>1829.4117647058824</v>
      </c>
      <c r="S22" s="81">
        <f>F14/USD!$S$128</f>
        <v>1930.7692307692307</v>
      </c>
      <c r="T22" s="81">
        <f>(H14+$N$6)/USD!$T$128</f>
        <v>4783.529411764706</v>
      </c>
      <c r="U22" s="81">
        <f>H14/USD!$S$128</f>
        <v>5793.846153846153</v>
      </c>
    </row>
    <row r="23" spans="1:21" ht="27" customHeight="1" thickBot="1" thickTop="1">
      <c r="A23" s="31" t="s">
        <v>13</v>
      </c>
      <c r="B23" s="52">
        <f>IF(H4=Q5,B10-B12,0)</f>
        <v>5000</v>
      </c>
      <c r="C23" s="126"/>
      <c r="D23" s="52">
        <f>IF(H4=Q5,D10-D12,0)</f>
        <v>5000</v>
      </c>
      <c r="E23" s="126"/>
      <c r="F23" s="52">
        <f>IF(H4=Q5,F10-F12,0)</f>
        <v>4998.263157894748</v>
      </c>
      <c r="G23" s="126"/>
      <c r="H23" s="53">
        <v>15000</v>
      </c>
      <c r="I23" s="126"/>
      <c r="J23" s="52">
        <f>IF(H4=Q5,0,J10-J12)</f>
        <v>0</v>
      </c>
      <c r="K23" s="126"/>
      <c r="L23" s="154"/>
      <c r="O23" s="81">
        <f>USD!$R$128+0.01</f>
        <v>12000.01</v>
      </c>
      <c r="Q23" s="81">
        <f>USD!$R$128+0.01</f>
        <v>12000.01</v>
      </c>
      <c r="S23" s="81">
        <f>USD!$R$128+0.01</f>
        <v>12000.01</v>
      </c>
      <c r="U23" s="81">
        <f>USD!$R$128+0.01</f>
        <v>12000.01</v>
      </c>
    </row>
    <row r="24" spans="1:21" ht="9" customHeight="1" thickTop="1">
      <c r="A24" s="156"/>
      <c r="B24" s="128"/>
      <c r="C24" s="152"/>
      <c r="D24" s="128"/>
      <c r="E24" s="152"/>
      <c r="F24" s="128"/>
      <c r="G24" s="152"/>
      <c r="H24" s="167"/>
      <c r="I24" s="152"/>
      <c r="J24" s="128"/>
      <c r="N24" s="81">
        <f>(B14+$N$6)/USD!$T$129</f>
        <v>1727.7777777777778</v>
      </c>
      <c r="O24" s="81">
        <f>B14/USD!$S$129</f>
        <v>1792.857142857143</v>
      </c>
      <c r="P24" s="81">
        <f>(D14+$N$6)/USD!$T$129</f>
        <v>1727.7777777777778</v>
      </c>
      <c r="Q24" s="81">
        <f>D14/USD!$S$129</f>
        <v>1792.857142857143</v>
      </c>
      <c r="R24" s="81">
        <f>(F14+$N$6)/USD!$T$129</f>
        <v>1727.7777777777778</v>
      </c>
      <c r="S24" s="81">
        <f>F14/USD!$S$129</f>
        <v>1792.857142857143</v>
      </c>
      <c r="T24" s="81">
        <f>(H14+$N$6)/USD!$T$129</f>
        <v>4517.777777777777</v>
      </c>
      <c r="U24" s="81">
        <f>H14/USD!$S$129</f>
        <v>5380</v>
      </c>
    </row>
    <row r="25" spans="1:27" ht="27" customHeight="1">
      <c r="A25" s="38" t="s">
        <v>65</v>
      </c>
      <c r="B25" s="73">
        <f>(B12/POWER(1+$I$6/12,-($B$6-1)))-(B14*(POWER(1+$I$6/12,$B$6-1)-1)/($I$6/12))</f>
        <v>89685.5736696832</v>
      </c>
      <c r="D25" s="73">
        <f>IF(H4=Q5,(D12/POWER(1+$I$6/12,-($B$6-1)))-(D14*(POWER(1+$I$6/12,$B$6-1)-1)/($I$6/12)),0)</f>
        <v>89685.5736696832</v>
      </c>
      <c r="F25" s="73">
        <f>IF(H4=Q5,(F12/POWER(1+$I$6/12,-($B$6-1)))-(F14*(POWER(1+$I$6/12,$B$6-1)-1)/($I$6/12)),0)</f>
        <v>89649.41942383967</v>
      </c>
      <c r="H25" s="73">
        <f>(H12/POWER(1+$I$6/12,-($B$6-1)))-(H14*(POWER(1+$I$6/12,$B$6-1)-1)/($I$6/12))</f>
        <v>269045.2510241637</v>
      </c>
      <c r="J25" s="73">
        <f>(J12/POWER(1+$I$6/12,-($B$6-1)))-(J14*(POWER(1+$I$6/12,$B$6-1)-1)/($I$6/12))</f>
        <v>0</v>
      </c>
      <c r="O25" s="24"/>
      <c r="P25" s="25"/>
      <c r="Q25" s="30"/>
      <c r="R25" s="175" t="str">
        <f>USD!R26</f>
        <v>Готовое</v>
      </c>
      <c r="S25" s="175" t="str">
        <f>USD!S26</f>
        <v>Стройка</v>
      </c>
      <c r="T25" s="175" t="str">
        <f>USD!T26</f>
        <v>Нецелевой</v>
      </c>
      <c r="U25" s="199" t="str">
        <f>USD!U26</f>
        <v>Рефинансирование</v>
      </c>
      <c r="V25" s="199"/>
      <c r="W25" s="199" t="str">
        <f>USD!W26</f>
        <v>Сотрудники</v>
      </c>
      <c r="X25" s="199"/>
      <c r="Y25" s="199" t="str">
        <f>USD!Y26</f>
        <v>УЖУ</v>
      </c>
      <c r="Z25" s="199"/>
      <c r="AA25" s="199"/>
    </row>
    <row r="26" spans="15:27" ht="9" customHeight="1">
      <c r="O26" s="24"/>
      <c r="P26" s="25"/>
      <c r="Q26" s="30"/>
      <c r="R26" s="175"/>
      <c r="S26" s="175"/>
      <c r="T26" s="175"/>
      <c r="U26" s="175" t="str">
        <f>USD!U27</f>
        <v>Готовое</v>
      </c>
      <c r="V26" s="175" t="str">
        <f>USD!V27</f>
        <v>Нецелевой</v>
      </c>
      <c r="W26" s="175" t="str">
        <f>USD!W27</f>
        <v>Готовое</v>
      </c>
      <c r="X26" s="175" t="str">
        <f>USD!X27</f>
        <v>Стройка</v>
      </c>
      <c r="Y26" s="175" t="str">
        <f>USD!Y27</f>
        <v>Собств.</v>
      </c>
      <c r="Z26" s="175" t="str">
        <f>USD!Z27</f>
        <v>Собств.+Покуп.</v>
      </c>
      <c r="AA26" s="175" t="str">
        <f>USD!AA27</f>
        <v>Не продается</v>
      </c>
    </row>
    <row r="27" spans="1:27" ht="12">
      <c r="A27" s="78" t="s">
        <v>23</v>
      </c>
      <c r="O27" s="87" t="str">
        <f>USD!O28</f>
        <v>Остальные регионы</v>
      </c>
      <c r="P27" s="88">
        <f>USD!P28</f>
        <v>100</v>
      </c>
      <c r="Q27" s="88">
        <f>USD!Q28</f>
        <v>85</v>
      </c>
      <c r="R27" s="176">
        <f>USD!R28</f>
        <v>0.85</v>
      </c>
      <c r="S27" s="176">
        <f>USD!S28</f>
        <v>0.85</v>
      </c>
      <c r="T27" s="176">
        <f>USD!T28</f>
        <v>0.7</v>
      </c>
      <c r="U27" s="176">
        <f>USD!U28</f>
        <v>0.85</v>
      </c>
      <c r="V27" s="176">
        <f>USD!V28</f>
        <v>0.7</v>
      </c>
      <c r="W27" s="176">
        <f>USD!W28</f>
        <v>0.85</v>
      </c>
      <c r="X27" s="176">
        <f>USD!X28</f>
        <v>0.95</v>
      </c>
      <c r="Y27" s="176">
        <f>USD!Y28</f>
        <v>1</v>
      </c>
      <c r="Z27" s="176">
        <f>USD!Z28</f>
        <v>0.9</v>
      </c>
      <c r="AA27" s="176">
        <f>USD!AA28</f>
        <v>0.85</v>
      </c>
    </row>
    <row r="28" spans="1:27" ht="12">
      <c r="A28" s="76" t="s">
        <v>24</v>
      </c>
      <c r="D28" s="126"/>
      <c r="F28" s="158"/>
      <c r="J28" s="126"/>
      <c r="O28" s="87" t="str">
        <f>USD!O29</f>
        <v>Архангельская область (не включая г. Архангельск)</v>
      </c>
      <c r="P28" s="88">
        <f>USD!P29</f>
        <v>100</v>
      </c>
      <c r="Q28" s="88">
        <f>USD!Q29</f>
        <v>85</v>
      </c>
      <c r="R28" s="176">
        <f>USD!R29</f>
        <v>0.85</v>
      </c>
      <c r="S28" s="176">
        <f>USD!S29</f>
        <v>0.85</v>
      </c>
      <c r="T28" s="176">
        <f>USD!T29</f>
        <v>0.7</v>
      </c>
      <c r="U28" s="176">
        <f>USD!U29</f>
        <v>0.85</v>
      </c>
      <c r="V28" s="176">
        <f>USD!V29</f>
        <v>0.7</v>
      </c>
      <c r="W28" s="176">
        <f>USD!W29</f>
        <v>0.85</v>
      </c>
      <c r="X28" s="176">
        <f>USD!X29</f>
        <v>0.95</v>
      </c>
      <c r="Y28" s="176">
        <f>USD!Y29</f>
        <v>1</v>
      </c>
      <c r="Z28" s="176">
        <f>USD!Z29</f>
        <v>0.9</v>
      </c>
      <c r="AA28" s="176">
        <f>USD!AA29</f>
        <v>0.85</v>
      </c>
    </row>
    <row r="29" spans="1:27" ht="12">
      <c r="A29" s="76" t="s">
        <v>25</v>
      </c>
      <c r="O29" s="87" t="str">
        <f>USD!O30</f>
        <v>г. Архангельск</v>
      </c>
      <c r="P29" s="88">
        <f>USD!P30</f>
        <v>100</v>
      </c>
      <c r="Q29" s="88">
        <f>USD!Q30</f>
        <v>85</v>
      </c>
      <c r="R29" s="176">
        <f>USD!R30</f>
        <v>0.9</v>
      </c>
      <c r="S29" s="176">
        <f>USD!S30</f>
        <v>0.85</v>
      </c>
      <c r="T29" s="176">
        <f>USD!T30</f>
        <v>0.7</v>
      </c>
      <c r="U29" s="176">
        <f>USD!U30</f>
        <v>0.85</v>
      </c>
      <c r="V29" s="176">
        <f>USD!V30</f>
        <v>0.7</v>
      </c>
      <c r="W29" s="176">
        <f>USD!W30</f>
        <v>0.9</v>
      </c>
      <c r="X29" s="176">
        <f>USD!X30</f>
        <v>0.95</v>
      </c>
      <c r="Y29" s="176">
        <f>USD!Y30</f>
        <v>1</v>
      </c>
      <c r="Z29" s="176">
        <f>USD!Z30</f>
        <v>0.9</v>
      </c>
      <c r="AA29" s="176">
        <f>USD!AA30</f>
        <v>0.85</v>
      </c>
    </row>
    <row r="30" spans="10:27" ht="12">
      <c r="J30" s="89"/>
      <c r="O30" s="87" t="str">
        <f>USD!O31</f>
        <v>Астраханская область (не включая г. Астрахань)</v>
      </c>
      <c r="P30" s="88">
        <f>USD!P31</f>
        <v>100</v>
      </c>
      <c r="Q30" s="88">
        <f>USD!Q31</f>
        <v>85</v>
      </c>
      <c r="R30" s="176">
        <f>USD!R31</f>
        <v>0.85</v>
      </c>
      <c r="S30" s="176">
        <f>USD!S31</f>
        <v>0.85</v>
      </c>
      <c r="T30" s="176">
        <f>USD!T31</f>
        <v>0.7</v>
      </c>
      <c r="U30" s="176">
        <f>USD!U31</f>
        <v>0.85</v>
      </c>
      <c r="V30" s="176">
        <f>USD!V31</f>
        <v>0.7</v>
      </c>
      <c r="W30" s="176">
        <f>USD!W31</f>
        <v>0.85</v>
      </c>
      <c r="X30" s="176">
        <f>USD!X31</f>
        <v>0.95</v>
      </c>
      <c r="Y30" s="176">
        <f>USD!Y31</f>
        <v>1</v>
      </c>
      <c r="Z30" s="176">
        <f>USD!Z31</f>
        <v>0.9</v>
      </c>
      <c r="AA30" s="176">
        <f>USD!AA31</f>
        <v>0.85</v>
      </c>
    </row>
    <row r="31" spans="15:27" ht="12">
      <c r="O31" s="87" t="str">
        <f>USD!O32</f>
        <v>г. Астрахань</v>
      </c>
      <c r="P31" s="88">
        <f>USD!P32</f>
        <v>100</v>
      </c>
      <c r="Q31" s="88">
        <f>USD!Q32</f>
        <v>85</v>
      </c>
      <c r="R31" s="176">
        <f>USD!R32</f>
        <v>0.9</v>
      </c>
      <c r="S31" s="176">
        <f>USD!S32</f>
        <v>0.85</v>
      </c>
      <c r="T31" s="176">
        <f>USD!T32</f>
        <v>0.7</v>
      </c>
      <c r="U31" s="176">
        <f>USD!U32</f>
        <v>0.85</v>
      </c>
      <c r="V31" s="176">
        <f>USD!V32</f>
        <v>0.7</v>
      </c>
      <c r="W31" s="176">
        <f>USD!W32</f>
        <v>0.9</v>
      </c>
      <c r="X31" s="176">
        <f>USD!X32</f>
        <v>0.95</v>
      </c>
      <c r="Y31" s="176">
        <f>USD!Y32</f>
        <v>1</v>
      </c>
      <c r="Z31" s="176">
        <f>USD!Z32</f>
        <v>0.9</v>
      </c>
      <c r="AA31" s="176">
        <f>USD!AA32</f>
        <v>0.85</v>
      </c>
    </row>
    <row r="32" spans="15:27" ht="12">
      <c r="O32" s="87" t="str">
        <f>USD!O33</f>
        <v>Алтайский край (не включая г. Барнаул)</v>
      </c>
      <c r="P32" s="88">
        <f>USD!P33</f>
        <v>100</v>
      </c>
      <c r="Q32" s="88">
        <f>USD!Q33</f>
        <v>85</v>
      </c>
      <c r="R32" s="176">
        <f>USD!R33</f>
        <v>0.85</v>
      </c>
      <c r="S32" s="176">
        <f>USD!S33</f>
        <v>0.85</v>
      </c>
      <c r="T32" s="176">
        <f>USD!T33</f>
        <v>0.7</v>
      </c>
      <c r="U32" s="176">
        <f>USD!U33</f>
        <v>0.85</v>
      </c>
      <c r="V32" s="176">
        <f>USD!V33</f>
        <v>0.7</v>
      </c>
      <c r="W32" s="176">
        <f>USD!W33</f>
        <v>0.85</v>
      </c>
      <c r="X32" s="176">
        <f>USD!X33</f>
        <v>0.95</v>
      </c>
      <c r="Y32" s="176">
        <f>USD!Y33</f>
        <v>1</v>
      </c>
      <c r="Z32" s="176">
        <f>USD!Z33</f>
        <v>0.9</v>
      </c>
      <c r="AA32" s="176">
        <f>USD!AA33</f>
        <v>0.85</v>
      </c>
    </row>
    <row r="33" spans="15:27" ht="12">
      <c r="O33" s="87" t="str">
        <f>USD!O34</f>
        <v>г. Барнаул</v>
      </c>
      <c r="P33" s="88">
        <f>USD!P34</f>
        <v>100</v>
      </c>
      <c r="Q33" s="88">
        <f>USD!Q34</f>
        <v>85</v>
      </c>
      <c r="R33" s="176">
        <f>USD!R34</f>
        <v>0.9</v>
      </c>
      <c r="S33" s="176">
        <f>USD!S34</f>
        <v>0.85</v>
      </c>
      <c r="T33" s="176">
        <f>USD!T34</f>
        <v>0.7</v>
      </c>
      <c r="U33" s="176">
        <f>USD!U34</f>
        <v>0.85</v>
      </c>
      <c r="V33" s="176">
        <f>USD!V34</f>
        <v>0.7</v>
      </c>
      <c r="W33" s="176">
        <f>USD!W34</f>
        <v>0.9</v>
      </c>
      <c r="X33" s="176">
        <f>USD!X34</f>
        <v>0.95</v>
      </c>
      <c r="Y33" s="176">
        <f>USD!Y34</f>
        <v>1</v>
      </c>
      <c r="Z33" s="176">
        <f>USD!Z34</f>
        <v>0.9</v>
      </c>
      <c r="AA33" s="176">
        <f>USD!AA34</f>
        <v>0.85</v>
      </c>
    </row>
    <row r="34" spans="15:27" ht="12">
      <c r="O34" s="87" t="str">
        <f>USD!O35</f>
        <v>Белгородская область (не включая г. Белгород)</v>
      </c>
      <c r="P34" s="88">
        <f>USD!P35</f>
        <v>100</v>
      </c>
      <c r="Q34" s="88">
        <f>USD!Q35</f>
        <v>85</v>
      </c>
      <c r="R34" s="176">
        <f>USD!R35</f>
        <v>0.85</v>
      </c>
      <c r="S34" s="176">
        <f>USD!S35</f>
        <v>0.85</v>
      </c>
      <c r="T34" s="176">
        <f>USD!T35</f>
        <v>0.7</v>
      </c>
      <c r="U34" s="176">
        <f>USD!U35</f>
        <v>0.85</v>
      </c>
      <c r="V34" s="176">
        <f>USD!V35</f>
        <v>0.7</v>
      </c>
      <c r="W34" s="176">
        <f>USD!W35</f>
        <v>0.85</v>
      </c>
      <c r="X34" s="176">
        <f>USD!X35</f>
        <v>0.95</v>
      </c>
      <c r="Y34" s="176">
        <f>USD!Y35</f>
        <v>1</v>
      </c>
      <c r="Z34" s="176">
        <f>USD!Z35</f>
        <v>0.9</v>
      </c>
      <c r="AA34" s="176">
        <f>USD!AA35</f>
        <v>0.85</v>
      </c>
    </row>
    <row r="35" spans="15:27" ht="12">
      <c r="O35" s="87" t="str">
        <f>USD!O36</f>
        <v>г. Белгород</v>
      </c>
      <c r="P35" s="88">
        <f>USD!P36</f>
        <v>100</v>
      </c>
      <c r="Q35" s="88">
        <f>USD!Q36</f>
        <v>85</v>
      </c>
      <c r="R35" s="176">
        <f>USD!R36</f>
        <v>0.9</v>
      </c>
      <c r="S35" s="176">
        <f>USD!S36</f>
        <v>0.85</v>
      </c>
      <c r="T35" s="176">
        <f>USD!T36</f>
        <v>0.7</v>
      </c>
      <c r="U35" s="176">
        <f>USD!U36</f>
        <v>0.85</v>
      </c>
      <c r="V35" s="176">
        <f>USD!V36</f>
        <v>0.7</v>
      </c>
      <c r="W35" s="176">
        <f>USD!W36</f>
        <v>0.9</v>
      </c>
      <c r="X35" s="176">
        <f>USD!X36</f>
        <v>0.95</v>
      </c>
      <c r="Y35" s="176">
        <f>USD!Y36</f>
        <v>1</v>
      </c>
      <c r="Z35" s="176">
        <f>USD!Z36</f>
        <v>0.9</v>
      </c>
      <c r="AA35" s="176">
        <f>USD!AA36</f>
        <v>0.85</v>
      </c>
    </row>
    <row r="36" spans="15:27" ht="12">
      <c r="O36" s="87" t="str">
        <f>USD!O37</f>
        <v>Владимирская область (не включая г. Владимир)</v>
      </c>
      <c r="P36" s="88">
        <f>USD!P37</f>
        <v>100</v>
      </c>
      <c r="Q36" s="88">
        <f>USD!Q37</f>
        <v>85</v>
      </c>
      <c r="R36" s="176">
        <f>USD!R37</f>
        <v>0.85</v>
      </c>
      <c r="S36" s="176">
        <f>USD!S37</f>
        <v>0.85</v>
      </c>
      <c r="T36" s="176">
        <f>USD!T37</f>
        <v>0.7</v>
      </c>
      <c r="U36" s="176">
        <f>USD!U37</f>
        <v>0.85</v>
      </c>
      <c r="V36" s="176">
        <f>USD!V37</f>
        <v>0.7</v>
      </c>
      <c r="W36" s="176">
        <f>USD!W37</f>
        <v>0.85</v>
      </c>
      <c r="X36" s="176">
        <f>USD!X37</f>
        <v>0.95</v>
      </c>
      <c r="Y36" s="176">
        <f>USD!Y37</f>
        <v>1</v>
      </c>
      <c r="Z36" s="176">
        <f>USD!Z37</f>
        <v>0.9</v>
      </c>
      <c r="AA36" s="176">
        <f>USD!AA37</f>
        <v>0.85</v>
      </c>
    </row>
    <row r="37" spans="15:27" ht="12">
      <c r="O37" s="87" t="str">
        <f>USD!O38</f>
        <v>г. Владимир</v>
      </c>
      <c r="P37" s="88">
        <f>USD!P38</f>
        <v>100</v>
      </c>
      <c r="Q37" s="88">
        <f>USD!Q38</f>
        <v>85</v>
      </c>
      <c r="R37" s="176">
        <f>USD!R38</f>
        <v>0.9</v>
      </c>
      <c r="S37" s="176">
        <f>USD!S38</f>
        <v>0.85</v>
      </c>
      <c r="T37" s="176">
        <f>USD!T38</f>
        <v>0.7</v>
      </c>
      <c r="U37" s="176">
        <f>USD!U38</f>
        <v>0.85</v>
      </c>
      <c r="V37" s="176">
        <f>USD!V38</f>
        <v>0.7</v>
      </c>
      <c r="W37" s="176">
        <f>USD!W38</f>
        <v>0.9</v>
      </c>
      <c r="X37" s="176">
        <f>USD!X38</f>
        <v>0.95</v>
      </c>
      <c r="Y37" s="176">
        <f>USD!Y38</f>
        <v>1</v>
      </c>
      <c r="Z37" s="176">
        <f>USD!Z38</f>
        <v>0.9</v>
      </c>
      <c r="AA37" s="176">
        <f>USD!AA38</f>
        <v>0.85</v>
      </c>
    </row>
    <row r="38" spans="15:27" ht="12">
      <c r="O38" s="87" t="str">
        <f>USD!O39</f>
        <v>Волгоградская область (не включая г. Волгоград)</v>
      </c>
      <c r="P38" s="88">
        <f>USD!P39</f>
        <v>100</v>
      </c>
      <c r="Q38" s="88">
        <f>USD!Q39</f>
        <v>85</v>
      </c>
      <c r="R38" s="176">
        <f>USD!R39</f>
        <v>0.85</v>
      </c>
      <c r="S38" s="176">
        <f>USD!S39</f>
        <v>0.85</v>
      </c>
      <c r="T38" s="176">
        <f>USD!T39</f>
        <v>0.7</v>
      </c>
      <c r="U38" s="176">
        <f>USD!U39</f>
        <v>0.85</v>
      </c>
      <c r="V38" s="176">
        <f>USD!V39</f>
        <v>0.7</v>
      </c>
      <c r="W38" s="176">
        <f>USD!W39</f>
        <v>0.85</v>
      </c>
      <c r="X38" s="176">
        <f>USD!X39</f>
        <v>0.95</v>
      </c>
      <c r="Y38" s="176">
        <f>USD!Y39</f>
        <v>1</v>
      </c>
      <c r="Z38" s="176">
        <f>USD!Z39</f>
        <v>0.9</v>
      </c>
      <c r="AA38" s="176">
        <f>USD!AA39</f>
        <v>0.85</v>
      </c>
    </row>
    <row r="39" spans="15:27" ht="12">
      <c r="O39" s="87" t="str">
        <f>USD!O40</f>
        <v>г. Волгоград</v>
      </c>
      <c r="P39" s="88">
        <f>USD!P40</f>
        <v>100</v>
      </c>
      <c r="Q39" s="88">
        <f>USD!Q40</f>
        <v>85</v>
      </c>
      <c r="R39" s="176">
        <f>USD!R40</f>
        <v>0.9</v>
      </c>
      <c r="S39" s="176">
        <f>USD!S40</f>
        <v>0.85</v>
      </c>
      <c r="T39" s="176">
        <f>USD!T40</f>
        <v>0.7</v>
      </c>
      <c r="U39" s="176">
        <f>USD!U40</f>
        <v>0.85</v>
      </c>
      <c r="V39" s="176">
        <f>USD!V40</f>
        <v>0.7</v>
      </c>
      <c r="W39" s="176">
        <f>USD!W40</f>
        <v>0.9</v>
      </c>
      <c r="X39" s="176">
        <f>USD!X40</f>
        <v>0.95</v>
      </c>
      <c r="Y39" s="176">
        <f>USD!Y40</f>
        <v>1</v>
      </c>
      <c r="Z39" s="176">
        <f>USD!Z40</f>
        <v>0.9</v>
      </c>
      <c r="AA39" s="176">
        <f>USD!AA40</f>
        <v>0.85</v>
      </c>
    </row>
    <row r="40" spans="15:27" ht="11.25">
      <c r="O40" s="87" t="str">
        <f>USD!O41</f>
        <v>г. Вологда</v>
      </c>
      <c r="P40" s="88">
        <f>USD!P41</f>
        <v>120</v>
      </c>
      <c r="Q40" s="88">
        <f>USD!Q41</f>
        <v>100</v>
      </c>
      <c r="R40" s="176">
        <f>USD!R41</f>
        <v>0.9</v>
      </c>
      <c r="S40" s="176">
        <f>USD!S41</f>
        <v>0.85</v>
      </c>
      <c r="T40" s="176">
        <f>USD!T41</f>
        <v>0.7</v>
      </c>
      <c r="U40" s="176">
        <f>USD!U41</f>
        <v>0.85</v>
      </c>
      <c r="V40" s="176">
        <f>USD!V41</f>
        <v>0.7</v>
      </c>
      <c r="W40" s="176">
        <f>USD!W41</f>
        <v>0.9</v>
      </c>
      <c r="X40" s="176">
        <f>USD!X41</f>
        <v>0.95</v>
      </c>
      <c r="Y40" s="176">
        <f>USD!Y41</f>
        <v>1</v>
      </c>
      <c r="Z40" s="176">
        <f>USD!Z41</f>
        <v>0.9</v>
      </c>
      <c r="AA40" s="176">
        <f>USD!AA41</f>
        <v>0.85</v>
      </c>
    </row>
    <row r="41" spans="15:27" ht="11.25">
      <c r="O41" s="87" t="str">
        <f>USD!O42</f>
        <v>Воронежская область (включая г. Воронеж)</v>
      </c>
      <c r="P41" s="88">
        <f>USD!P42</f>
        <v>100</v>
      </c>
      <c r="Q41" s="88">
        <f>USD!Q42</f>
        <v>85</v>
      </c>
      <c r="R41" s="176">
        <f>USD!R42</f>
        <v>0.85</v>
      </c>
      <c r="S41" s="176">
        <f>USD!S42</f>
        <v>0.85</v>
      </c>
      <c r="T41" s="176">
        <f>USD!T42</f>
        <v>0.7</v>
      </c>
      <c r="U41" s="176">
        <f>USD!U42</f>
        <v>0.85</v>
      </c>
      <c r="V41" s="176">
        <f>USD!V42</f>
        <v>0.7</v>
      </c>
      <c r="W41" s="176">
        <f>USD!W42</f>
        <v>0.85</v>
      </c>
      <c r="X41" s="176">
        <f>USD!X42</f>
        <v>0.95</v>
      </c>
      <c r="Y41" s="176">
        <f>USD!Y42</f>
        <v>1</v>
      </c>
      <c r="Z41" s="176">
        <f>USD!Z42</f>
        <v>0.9</v>
      </c>
      <c r="AA41" s="176">
        <f>USD!AA42</f>
        <v>0.85</v>
      </c>
    </row>
    <row r="42" spans="15:27" ht="11.25">
      <c r="O42" s="87" t="str">
        <f>USD!O43</f>
        <v>Иркутская область (не включая г. Иркутск и г. Ангарск)</v>
      </c>
      <c r="P42" s="88">
        <f>USD!P43</f>
        <v>120</v>
      </c>
      <c r="Q42" s="88">
        <f>USD!Q43</f>
        <v>100</v>
      </c>
      <c r="R42" s="176">
        <f>USD!R43</f>
        <v>0.85</v>
      </c>
      <c r="S42" s="176">
        <f>USD!S43</f>
        <v>0.85</v>
      </c>
      <c r="T42" s="176">
        <f>USD!T43</f>
        <v>0.7</v>
      </c>
      <c r="U42" s="176">
        <f>USD!U43</f>
        <v>0.85</v>
      </c>
      <c r="V42" s="176">
        <f>USD!V43</f>
        <v>0.7</v>
      </c>
      <c r="W42" s="176">
        <f>USD!W43</f>
        <v>0.85</v>
      </c>
      <c r="X42" s="176">
        <f>USD!X43</f>
        <v>0.95</v>
      </c>
      <c r="Y42" s="176">
        <f>USD!Y43</f>
        <v>1</v>
      </c>
      <c r="Z42" s="176">
        <f>USD!Z43</f>
        <v>0.9</v>
      </c>
      <c r="AA42" s="176">
        <f>USD!AA43</f>
        <v>0.85</v>
      </c>
    </row>
    <row r="43" spans="15:27" ht="11.25">
      <c r="O43" s="87" t="str">
        <f>USD!O44</f>
        <v>г. Иркутск</v>
      </c>
      <c r="P43" s="88">
        <f>USD!P44</f>
        <v>120</v>
      </c>
      <c r="Q43" s="88">
        <f>USD!Q44</f>
        <v>100</v>
      </c>
      <c r="R43" s="176">
        <f>USD!R44</f>
        <v>0.9</v>
      </c>
      <c r="S43" s="176">
        <f>USD!S44</f>
        <v>0.85</v>
      </c>
      <c r="T43" s="176">
        <f>USD!T44</f>
        <v>0.7</v>
      </c>
      <c r="U43" s="176">
        <f>USD!U44</f>
        <v>0.85</v>
      </c>
      <c r="V43" s="176">
        <f>USD!V44</f>
        <v>0.7</v>
      </c>
      <c r="W43" s="176">
        <f>USD!W44</f>
        <v>0.9</v>
      </c>
      <c r="X43" s="176">
        <f>USD!X44</f>
        <v>0.95</v>
      </c>
      <c r="Y43" s="176">
        <f>USD!Y44</f>
        <v>1</v>
      </c>
      <c r="Z43" s="176">
        <f>USD!Z44</f>
        <v>0.9</v>
      </c>
      <c r="AA43" s="176">
        <f>USD!AA44</f>
        <v>0.85</v>
      </c>
    </row>
    <row r="44" spans="15:27" ht="11.25">
      <c r="O44" s="87" t="str">
        <f>USD!O45</f>
        <v>г. Ангарск</v>
      </c>
      <c r="P44" s="88">
        <f>USD!P45</f>
        <v>120</v>
      </c>
      <c r="Q44" s="88">
        <f>USD!Q45</f>
        <v>100</v>
      </c>
      <c r="R44" s="176">
        <f>USD!R45</f>
        <v>0.9</v>
      </c>
      <c r="S44" s="176">
        <f>USD!S45</f>
        <v>0.85</v>
      </c>
      <c r="T44" s="176">
        <f>USD!T45</f>
        <v>0.7</v>
      </c>
      <c r="U44" s="176">
        <f>USD!U45</f>
        <v>0.85</v>
      </c>
      <c r="V44" s="176">
        <f>USD!V45</f>
        <v>0.7</v>
      </c>
      <c r="W44" s="176">
        <f>USD!W45</f>
        <v>0.9</v>
      </c>
      <c r="X44" s="176">
        <f>USD!X45</f>
        <v>0.95</v>
      </c>
      <c r="Y44" s="176">
        <f>USD!Y45</f>
        <v>1</v>
      </c>
      <c r="Z44" s="176">
        <f>USD!Z45</f>
        <v>0.9</v>
      </c>
      <c r="AA44" s="176">
        <f>USD!AA45</f>
        <v>0.85</v>
      </c>
    </row>
    <row r="45" spans="15:27" ht="11.25">
      <c r="O45" s="87" t="str">
        <f>USD!O46</f>
        <v>Калининградская область (не включая г. Калининград)</v>
      </c>
      <c r="P45" s="88">
        <f>USD!P46</f>
        <v>100</v>
      </c>
      <c r="Q45" s="88">
        <f>USD!Q46</f>
        <v>85</v>
      </c>
      <c r="R45" s="176">
        <f>USD!R46</f>
        <v>0.85</v>
      </c>
      <c r="S45" s="176">
        <f>USD!S46</f>
        <v>0.85</v>
      </c>
      <c r="T45" s="176">
        <f>USD!T46</f>
        <v>0.7</v>
      </c>
      <c r="U45" s="176">
        <f>USD!U46</f>
        <v>0.85</v>
      </c>
      <c r="V45" s="176">
        <f>USD!V46</f>
        <v>0.7</v>
      </c>
      <c r="W45" s="176">
        <f>USD!W46</f>
        <v>0.85</v>
      </c>
      <c r="X45" s="176">
        <f>USD!X46</f>
        <v>0.95</v>
      </c>
      <c r="Y45" s="176">
        <f>USD!Y46</f>
        <v>1</v>
      </c>
      <c r="Z45" s="176">
        <f>USD!Z46</f>
        <v>0.9</v>
      </c>
      <c r="AA45" s="176">
        <f>USD!AA46</f>
        <v>0.85</v>
      </c>
    </row>
    <row r="46" spans="15:27" ht="11.25">
      <c r="O46" s="87" t="str">
        <f>USD!O47</f>
        <v>г. Калининград</v>
      </c>
      <c r="P46" s="88">
        <f>USD!P47</f>
        <v>100</v>
      </c>
      <c r="Q46" s="88">
        <f>USD!Q47</f>
        <v>85</v>
      </c>
      <c r="R46" s="176">
        <f>USD!R47</f>
        <v>0.9</v>
      </c>
      <c r="S46" s="176">
        <f>USD!S47</f>
        <v>0.85</v>
      </c>
      <c r="T46" s="176">
        <f>USD!T47</f>
        <v>0.7</v>
      </c>
      <c r="U46" s="176">
        <f>USD!U47</f>
        <v>0.85</v>
      </c>
      <c r="V46" s="176">
        <f>USD!V47</f>
        <v>0.7</v>
      </c>
      <c r="W46" s="176">
        <f>USD!W47</f>
        <v>0.9</v>
      </c>
      <c r="X46" s="176">
        <f>USD!X47</f>
        <v>0.95</v>
      </c>
      <c r="Y46" s="176">
        <f>USD!Y47</f>
        <v>1</v>
      </c>
      <c r="Z46" s="176">
        <f>USD!Z47</f>
        <v>0.9</v>
      </c>
      <c r="AA46" s="176">
        <f>USD!AA47</f>
        <v>0.85</v>
      </c>
    </row>
    <row r="47" spans="15:27" ht="11.25">
      <c r="O47" s="87" t="str">
        <f>USD!O48</f>
        <v>Кемеровская область (не включая г. Кемерово)</v>
      </c>
      <c r="P47" s="88">
        <f>USD!P48</f>
        <v>100</v>
      </c>
      <c r="Q47" s="88">
        <f>USD!Q48</f>
        <v>85</v>
      </c>
      <c r="R47" s="176">
        <f>USD!R48</f>
        <v>0.85</v>
      </c>
      <c r="S47" s="176">
        <f>USD!S48</f>
        <v>0.85</v>
      </c>
      <c r="T47" s="176">
        <f>USD!T48</f>
        <v>0.7</v>
      </c>
      <c r="U47" s="176">
        <f>USD!U48</f>
        <v>0.85</v>
      </c>
      <c r="V47" s="176">
        <f>USD!V48</f>
        <v>0.7</v>
      </c>
      <c r="W47" s="176">
        <f>USD!W48</f>
        <v>0.85</v>
      </c>
      <c r="X47" s="176">
        <f>USD!X48</f>
        <v>0.95</v>
      </c>
      <c r="Y47" s="176">
        <f>USD!Y48</f>
        <v>1</v>
      </c>
      <c r="Z47" s="176">
        <f>USD!Z48</f>
        <v>0.9</v>
      </c>
      <c r="AA47" s="176">
        <f>USD!AA48</f>
        <v>0.85</v>
      </c>
    </row>
    <row r="48" spans="15:27" ht="11.25">
      <c r="O48" s="87" t="str">
        <f>USD!O49</f>
        <v>г. Кемерово</v>
      </c>
      <c r="P48" s="88">
        <f>USD!P49</f>
        <v>100</v>
      </c>
      <c r="Q48" s="88">
        <f>USD!Q49</f>
        <v>85</v>
      </c>
      <c r="R48" s="176">
        <f>USD!R49</f>
        <v>0.9</v>
      </c>
      <c r="S48" s="176">
        <f>USD!S49</f>
        <v>0.85</v>
      </c>
      <c r="T48" s="176">
        <f>USD!T49</f>
        <v>0.7</v>
      </c>
      <c r="U48" s="176">
        <f>USD!U49</f>
        <v>0.85</v>
      </c>
      <c r="V48" s="176">
        <f>USD!V49</f>
        <v>0.7</v>
      </c>
      <c r="W48" s="176">
        <f>USD!W49</f>
        <v>0.9</v>
      </c>
      <c r="X48" s="176">
        <f>USD!X49</f>
        <v>0.95</v>
      </c>
      <c r="Y48" s="176">
        <f>USD!Y49</f>
        <v>1</v>
      </c>
      <c r="Z48" s="176">
        <f>USD!Z49</f>
        <v>0.9</v>
      </c>
      <c r="AA48" s="176">
        <f>USD!AA49</f>
        <v>0.85</v>
      </c>
    </row>
    <row r="49" spans="15:27" ht="11.25">
      <c r="O49" s="87" t="str">
        <f>USD!O50</f>
        <v>Костромская область (не включая г. Кострома)</v>
      </c>
      <c r="P49" s="88">
        <f>USD!P50</f>
        <v>100</v>
      </c>
      <c r="Q49" s="88">
        <f>USD!Q50</f>
        <v>85</v>
      </c>
      <c r="R49" s="176">
        <f>USD!R50</f>
        <v>0.85</v>
      </c>
      <c r="S49" s="176">
        <f>USD!S50</f>
        <v>0.85</v>
      </c>
      <c r="T49" s="176">
        <f>USD!T50</f>
        <v>0.7</v>
      </c>
      <c r="U49" s="176">
        <f>USD!U50</f>
        <v>0.85</v>
      </c>
      <c r="V49" s="176">
        <f>USD!V50</f>
        <v>0.7</v>
      </c>
      <c r="W49" s="176">
        <f>USD!W50</f>
        <v>0.85</v>
      </c>
      <c r="X49" s="176">
        <f>USD!X50</f>
        <v>0.95</v>
      </c>
      <c r="Y49" s="176">
        <f>USD!Y50</f>
        <v>1</v>
      </c>
      <c r="Z49" s="176">
        <f>USD!Z50</f>
        <v>0.9</v>
      </c>
      <c r="AA49" s="176">
        <f>USD!AA50</f>
        <v>0.85</v>
      </c>
    </row>
    <row r="50" spans="15:27" ht="11.25">
      <c r="O50" s="87" t="str">
        <f>USD!O51</f>
        <v>г. Кострома</v>
      </c>
      <c r="P50" s="88">
        <f>USD!P51</f>
        <v>100</v>
      </c>
      <c r="Q50" s="88">
        <f>USD!Q51</f>
        <v>85</v>
      </c>
      <c r="R50" s="176">
        <f>USD!R51</f>
        <v>0.9</v>
      </c>
      <c r="S50" s="176">
        <f>USD!S51</f>
        <v>0.85</v>
      </c>
      <c r="T50" s="176">
        <f>USD!T51</f>
        <v>0.7</v>
      </c>
      <c r="U50" s="176">
        <f>USD!U51</f>
        <v>0.85</v>
      </c>
      <c r="V50" s="176">
        <f>USD!V51</f>
        <v>0.7</v>
      </c>
      <c r="W50" s="176">
        <f>USD!W51</f>
        <v>0.9</v>
      </c>
      <c r="X50" s="176">
        <f>USD!X51</f>
        <v>0.95</v>
      </c>
      <c r="Y50" s="176">
        <f>USD!Y51</f>
        <v>1</v>
      </c>
      <c r="Z50" s="176">
        <f>USD!Z51</f>
        <v>0.9</v>
      </c>
      <c r="AA50" s="176">
        <f>USD!AA51</f>
        <v>0.85</v>
      </c>
    </row>
    <row r="51" spans="15:27" ht="11.25">
      <c r="O51" s="87" t="str">
        <f>USD!O52</f>
        <v>Краснодарский край (не включая г. Краснодар и г. Сочи)</v>
      </c>
      <c r="P51" s="88">
        <f>USD!P52</f>
        <v>100</v>
      </c>
      <c r="Q51" s="88">
        <f>USD!Q52</f>
        <v>85</v>
      </c>
      <c r="R51" s="176">
        <f>USD!R52</f>
        <v>0.85</v>
      </c>
      <c r="S51" s="176">
        <f>USD!S52</f>
        <v>0.85</v>
      </c>
      <c r="T51" s="176">
        <f>USD!T52</f>
        <v>0.7</v>
      </c>
      <c r="U51" s="176">
        <f>USD!U52</f>
        <v>0.85</v>
      </c>
      <c r="V51" s="176">
        <f>USD!V52</f>
        <v>0.7</v>
      </c>
      <c r="W51" s="176">
        <f>USD!W52</f>
        <v>0.85</v>
      </c>
      <c r="X51" s="176">
        <f>USD!X52</f>
        <v>0.95</v>
      </c>
      <c r="Y51" s="176">
        <f>USD!Y52</f>
        <v>1</v>
      </c>
      <c r="Z51" s="176">
        <f>USD!Z52</f>
        <v>0.9</v>
      </c>
      <c r="AA51" s="176">
        <f>USD!AA52</f>
        <v>0.85</v>
      </c>
    </row>
    <row r="52" spans="15:27" ht="11.25">
      <c r="O52" s="87" t="str">
        <f>USD!O53</f>
        <v>г. Краснодар</v>
      </c>
      <c r="P52" s="88">
        <f>USD!P53</f>
        <v>100</v>
      </c>
      <c r="Q52" s="88">
        <f>USD!Q53</f>
        <v>85</v>
      </c>
      <c r="R52" s="176">
        <f>USD!R53</f>
        <v>0.9</v>
      </c>
      <c r="S52" s="176">
        <f>USD!S53</f>
        <v>0.85</v>
      </c>
      <c r="T52" s="176">
        <f>USD!T53</f>
        <v>0.7</v>
      </c>
      <c r="U52" s="176">
        <f>USD!U53</f>
        <v>0.85</v>
      </c>
      <c r="V52" s="176">
        <f>USD!V53</f>
        <v>0.7</v>
      </c>
      <c r="W52" s="176">
        <f>USD!W53</f>
        <v>0.9</v>
      </c>
      <c r="X52" s="176">
        <f>USD!X53</f>
        <v>0.95</v>
      </c>
      <c r="Y52" s="176">
        <f>USD!Y53</f>
        <v>1</v>
      </c>
      <c r="Z52" s="176">
        <f>USD!Z53</f>
        <v>0.9</v>
      </c>
      <c r="AA52" s="176">
        <f>USD!AA53</f>
        <v>0.85</v>
      </c>
    </row>
    <row r="53" spans="15:27" ht="11.25">
      <c r="O53" s="87" t="str">
        <f>USD!O54</f>
        <v>г. Сочи</v>
      </c>
      <c r="P53" s="88">
        <f>USD!P54</f>
        <v>100</v>
      </c>
      <c r="Q53" s="88">
        <f>USD!Q54</f>
        <v>85</v>
      </c>
      <c r="R53" s="176">
        <f>USD!R54</f>
        <v>0.9</v>
      </c>
      <c r="S53" s="176">
        <f>USD!S54</f>
        <v>0.85</v>
      </c>
      <c r="T53" s="176">
        <f>USD!T54</f>
        <v>0.7</v>
      </c>
      <c r="U53" s="176">
        <f>USD!U54</f>
        <v>0.85</v>
      </c>
      <c r="V53" s="176">
        <f>USD!V54</f>
        <v>0.7</v>
      </c>
      <c r="W53" s="176">
        <f>USD!W54</f>
        <v>0.9</v>
      </c>
      <c r="X53" s="176">
        <f>USD!X54</f>
        <v>0.95</v>
      </c>
      <c r="Y53" s="176">
        <f>USD!Y54</f>
        <v>1</v>
      </c>
      <c r="Z53" s="176">
        <f>USD!Z54</f>
        <v>0.9</v>
      </c>
      <c r="AA53" s="176">
        <f>USD!AA54</f>
        <v>0.85</v>
      </c>
    </row>
    <row r="54" spans="15:27" ht="11.25">
      <c r="O54" s="87" t="str">
        <f>USD!O55</f>
        <v>Красноярский край (не включая г. Красноярск)</v>
      </c>
      <c r="P54" s="88">
        <f>USD!P55</f>
        <v>100</v>
      </c>
      <c r="Q54" s="88">
        <f>USD!Q55</f>
        <v>85</v>
      </c>
      <c r="R54" s="176">
        <f>USD!R55</f>
        <v>0.85</v>
      </c>
      <c r="S54" s="176">
        <f>USD!S55</f>
        <v>0.85</v>
      </c>
      <c r="T54" s="176">
        <f>USD!T55</f>
        <v>0.7</v>
      </c>
      <c r="U54" s="176">
        <f>USD!U55</f>
        <v>0.85</v>
      </c>
      <c r="V54" s="176">
        <f>USD!V55</f>
        <v>0.7</v>
      </c>
      <c r="W54" s="176">
        <f>USD!W55</f>
        <v>0.85</v>
      </c>
      <c r="X54" s="176">
        <f>USD!X55</f>
        <v>0.95</v>
      </c>
      <c r="Y54" s="176">
        <f>USD!Y55</f>
        <v>1</v>
      </c>
      <c r="Z54" s="176">
        <f>USD!Z55</f>
        <v>0.9</v>
      </c>
      <c r="AA54" s="176">
        <f>USD!AA55</f>
        <v>0.85</v>
      </c>
    </row>
    <row r="55" spans="15:27" ht="11.25">
      <c r="O55" s="87" t="str">
        <f>USD!O56</f>
        <v>г. Красноярск</v>
      </c>
      <c r="P55" s="88">
        <f>USD!P56</f>
        <v>100</v>
      </c>
      <c r="Q55" s="88">
        <f>USD!Q56</f>
        <v>85</v>
      </c>
      <c r="R55" s="176">
        <f>USD!R56</f>
        <v>1</v>
      </c>
      <c r="S55" s="176">
        <f>USD!S56</f>
        <v>0.95</v>
      </c>
      <c r="T55" s="176">
        <f>USD!T56</f>
        <v>0.9</v>
      </c>
      <c r="U55" s="176">
        <f>USD!U56</f>
        <v>0.95</v>
      </c>
      <c r="V55" s="176">
        <f>USD!V56</f>
        <v>0.95</v>
      </c>
      <c r="W55" s="176">
        <f>USD!W56</f>
        <v>1</v>
      </c>
      <c r="X55" s="176">
        <f>USD!X56</f>
        <v>0.95</v>
      </c>
      <c r="Y55" s="176">
        <f>USD!Y56</f>
        <v>1</v>
      </c>
      <c r="Z55" s="176">
        <f>USD!Z56</f>
        <v>0.9</v>
      </c>
      <c r="AA55" s="176">
        <f>USD!AA56</f>
        <v>0.85</v>
      </c>
    </row>
    <row r="56" spans="15:27" ht="11.25">
      <c r="O56" s="87" t="str">
        <f>USD!O57</f>
        <v>Курская область (не включая г. Курск)</v>
      </c>
      <c r="P56" s="88">
        <f>USD!P57</f>
        <v>100</v>
      </c>
      <c r="Q56" s="88">
        <f>USD!Q57</f>
        <v>85</v>
      </c>
      <c r="R56" s="176">
        <f>USD!R57</f>
        <v>0.85</v>
      </c>
      <c r="S56" s="176">
        <f>USD!S57</f>
        <v>0.85</v>
      </c>
      <c r="T56" s="176">
        <f>USD!T57</f>
        <v>0.7</v>
      </c>
      <c r="U56" s="176">
        <f>USD!U57</f>
        <v>0.85</v>
      </c>
      <c r="V56" s="176">
        <f>USD!V57</f>
        <v>0.7</v>
      </c>
      <c r="W56" s="176">
        <f>USD!W57</f>
        <v>0.85</v>
      </c>
      <c r="X56" s="176">
        <f>USD!X57</f>
        <v>0.95</v>
      </c>
      <c r="Y56" s="176">
        <f>USD!Y57</f>
        <v>1</v>
      </c>
      <c r="Z56" s="176">
        <f>USD!Z57</f>
        <v>0.9</v>
      </c>
      <c r="AA56" s="176">
        <f>USD!AA57</f>
        <v>0.85</v>
      </c>
    </row>
    <row r="57" spans="15:27" ht="11.25">
      <c r="O57" s="87" t="str">
        <f>USD!O58</f>
        <v>г. Курск</v>
      </c>
      <c r="P57" s="88">
        <f>USD!P58</f>
        <v>100</v>
      </c>
      <c r="Q57" s="88">
        <f>USD!Q58</f>
        <v>85</v>
      </c>
      <c r="R57" s="176">
        <f>USD!R58</f>
        <v>0.9</v>
      </c>
      <c r="S57" s="176">
        <f>USD!S58</f>
        <v>0.85</v>
      </c>
      <c r="T57" s="176">
        <f>USD!T58</f>
        <v>0.7</v>
      </c>
      <c r="U57" s="176">
        <f>USD!U58</f>
        <v>0.85</v>
      </c>
      <c r="V57" s="176">
        <f>USD!V58</f>
        <v>0.7</v>
      </c>
      <c r="W57" s="176">
        <f>USD!W58</f>
        <v>0.9</v>
      </c>
      <c r="X57" s="176">
        <f>USD!X58</f>
        <v>0.95</v>
      </c>
      <c r="Y57" s="176">
        <f>USD!Y58</f>
        <v>1</v>
      </c>
      <c r="Z57" s="176">
        <f>USD!Z58</f>
        <v>0.9</v>
      </c>
      <c r="AA57" s="176">
        <f>USD!AA58</f>
        <v>0.85</v>
      </c>
    </row>
    <row r="58" spans="15:27" ht="11.25">
      <c r="O58" s="87" t="str">
        <f>USD!O59</f>
        <v>Ленинградская область (включая г. Санкт-Петербург)</v>
      </c>
      <c r="P58" s="88">
        <f>USD!P59</f>
        <v>120</v>
      </c>
      <c r="Q58" s="88">
        <f>USD!Q59</f>
        <v>100</v>
      </c>
      <c r="R58" s="176">
        <f>USD!R59</f>
        <v>1</v>
      </c>
      <c r="S58" s="176">
        <f>USD!S59</f>
        <v>0.95</v>
      </c>
      <c r="T58" s="176">
        <f>USD!T59</f>
        <v>0.9</v>
      </c>
      <c r="U58" s="176">
        <f>USD!U59</f>
        <v>0.95</v>
      </c>
      <c r="V58" s="176">
        <f>USD!V59</f>
        <v>0.95</v>
      </c>
      <c r="W58" s="176">
        <f>USD!W59</f>
        <v>1</v>
      </c>
      <c r="X58" s="176">
        <f>USD!X59</f>
        <v>0.95</v>
      </c>
      <c r="Y58" s="176">
        <f>USD!Y59</f>
        <v>1</v>
      </c>
      <c r="Z58" s="176">
        <f>USD!Z59</f>
        <v>0.9</v>
      </c>
      <c r="AA58" s="176">
        <f>USD!AA59</f>
        <v>0.85</v>
      </c>
    </row>
    <row r="59" spans="15:27" ht="11.25">
      <c r="O59" s="87" t="str">
        <f>USD!O60</f>
        <v>Липецкая область (не включая г. Липецк)</v>
      </c>
      <c r="P59" s="88">
        <f>USD!P60</f>
        <v>100</v>
      </c>
      <c r="Q59" s="88">
        <f>USD!Q60</f>
        <v>85</v>
      </c>
      <c r="R59" s="176">
        <f>USD!R60</f>
        <v>0.85</v>
      </c>
      <c r="S59" s="176">
        <f>USD!S60</f>
        <v>0.85</v>
      </c>
      <c r="T59" s="176">
        <f>USD!T60</f>
        <v>0.7</v>
      </c>
      <c r="U59" s="176">
        <f>USD!U60</f>
        <v>0.85</v>
      </c>
      <c r="V59" s="176">
        <f>USD!V60</f>
        <v>0.7</v>
      </c>
      <c r="W59" s="176">
        <f>USD!W60</f>
        <v>0.85</v>
      </c>
      <c r="X59" s="176">
        <f>USD!X60</f>
        <v>0.95</v>
      </c>
      <c r="Y59" s="176">
        <f>USD!Y60</f>
        <v>1</v>
      </c>
      <c r="Z59" s="176">
        <f>USD!Z60</f>
        <v>0.9</v>
      </c>
      <c r="AA59" s="176">
        <f>USD!AA60</f>
        <v>0.85</v>
      </c>
    </row>
    <row r="60" spans="15:27" ht="11.25">
      <c r="O60" s="87" t="str">
        <f>USD!O61</f>
        <v>г. Липецк</v>
      </c>
      <c r="P60" s="88">
        <f>USD!P61</f>
        <v>100</v>
      </c>
      <c r="Q60" s="88">
        <f>USD!Q61</f>
        <v>85</v>
      </c>
      <c r="R60" s="176">
        <f>USD!R61</f>
        <v>0.9</v>
      </c>
      <c r="S60" s="176">
        <f>USD!S61</f>
        <v>0.85</v>
      </c>
      <c r="T60" s="176">
        <f>USD!T61</f>
        <v>0.7</v>
      </c>
      <c r="U60" s="176">
        <f>USD!U61</f>
        <v>0.85</v>
      </c>
      <c r="V60" s="176">
        <f>USD!V61</f>
        <v>0.7</v>
      </c>
      <c r="W60" s="176">
        <f>USD!W61</f>
        <v>0.9</v>
      </c>
      <c r="X60" s="176">
        <f>USD!X61</f>
        <v>0.95</v>
      </c>
      <c r="Y60" s="176">
        <f>USD!Y61</f>
        <v>1</v>
      </c>
      <c r="Z60" s="176">
        <f>USD!Z61</f>
        <v>0.9</v>
      </c>
      <c r="AA60" s="176">
        <f>USD!AA61</f>
        <v>0.85</v>
      </c>
    </row>
    <row r="61" spans="15:27" ht="11.25">
      <c r="O61" s="87" t="str">
        <f>USD!O62</f>
        <v>Нижегородская область (не включая г. Нижний Новгород)</v>
      </c>
      <c r="P61" s="88">
        <f>USD!P62</f>
        <v>100</v>
      </c>
      <c r="Q61" s="88">
        <f>USD!Q62</f>
        <v>85</v>
      </c>
      <c r="R61" s="176">
        <f>USD!R62</f>
        <v>0.85</v>
      </c>
      <c r="S61" s="176">
        <f>USD!S62</f>
        <v>0.85</v>
      </c>
      <c r="T61" s="176">
        <f>USD!T62</f>
        <v>0.7</v>
      </c>
      <c r="U61" s="176">
        <f>USD!U62</f>
        <v>0.85</v>
      </c>
      <c r="V61" s="176">
        <f>USD!V62</f>
        <v>0.7</v>
      </c>
      <c r="W61" s="176">
        <f>USD!W62</f>
        <v>0.85</v>
      </c>
      <c r="X61" s="176">
        <f>USD!X62</f>
        <v>0.95</v>
      </c>
      <c r="Y61" s="176">
        <f>USD!Y62</f>
        <v>1</v>
      </c>
      <c r="Z61" s="176">
        <f>USD!Z62</f>
        <v>0.9</v>
      </c>
      <c r="AA61" s="176">
        <f>USD!AA62</f>
        <v>0.85</v>
      </c>
    </row>
    <row r="62" spans="15:27" ht="11.25">
      <c r="O62" s="87" t="str">
        <f>USD!O63</f>
        <v>г. Нижний Новгород</v>
      </c>
      <c r="P62" s="88">
        <f>USD!P63</f>
        <v>100</v>
      </c>
      <c r="Q62" s="88">
        <f>USD!Q63</f>
        <v>85</v>
      </c>
      <c r="R62" s="176">
        <f>USD!R63</f>
        <v>1</v>
      </c>
      <c r="S62" s="176">
        <f>USD!S63</f>
        <v>0.95</v>
      </c>
      <c r="T62" s="176">
        <f>USD!T63</f>
        <v>0.9</v>
      </c>
      <c r="U62" s="176">
        <f>USD!U63</f>
        <v>0.95</v>
      </c>
      <c r="V62" s="176">
        <f>USD!V63</f>
        <v>0.95</v>
      </c>
      <c r="W62" s="176">
        <f>USD!W63</f>
        <v>1</v>
      </c>
      <c r="X62" s="176">
        <f>USD!X63</f>
        <v>0.95</v>
      </c>
      <c r="Y62" s="176">
        <f>USD!Y63</f>
        <v>1</v>
      </c>
      <c r="Z62" s="176">
        <f>USD!Z63</f>
        <v>0.9</v>
      </c>
      <c r="AA62" s="176">
        <f>USD!AA63</f>
        <v>0.85</v>
      </c>
    </row>
    <row r="63" spans="15:27" ht="11.25">
      <c r="O63" s="87" t="str">
        <f>USD!O64</f>
        <v>Новосибирская область (не включая г. Новосибирск)</v>
      </c>
      <c r="P63" s="88">
        <f>USD!P64</f>
        <v>100</v>
      </c>
      <c r="Q63" s="88">
        <f>USD!Q64</f>
        <v>85</v>
      </c>
      <c r="R63" s="176">
        <f>USD!R64</f>
        <v>0.85</v>
      </c>
      <c r="S63" s="176">
        <f>USD!S64</f>
        <v>0.85</v>
      </c>
      <c r="T63" s="176">
        <f>USD!T64</f>
        <v>0.7</v>
      </c>
      <c r="U63" s="176">
        <f>USD!U64</f>
        <v>0.85</v>
      </c>
      <c r="V63" s="176">
        <f>USD!V64</f>
        <v>0.7</v>
      </c>
      <c r="W63" s="176">
        <f>USD!W64</f>
        <v>0.85</v>
      </c>
      <c r="X63" s="176">
        <f>USD!X64</f>
        <v>0.95</v>
      </c>
      <c r="Y63" s="176">
        <f>USD!Y64</f>
        <v>1</v>
      </c>
      <c r="Z63" s="176">
        <f>USD!Z64</f>
        <v>0.9</v>
      </c>
      <c r="AA63" s="176">
        <f>USD!AA64</f>
        <v>0.85</v>
      </c>
    </row>
    <row r="64" spans="15:27" ht="11.25">
      <c r="O64" s="87" t="str">
        <f>USD!O65</f>
        <v>г. Новосибирск</v>
      </c>
      <c r="P64" s="88">
        <f>USD!P65</f>
        <v>100</v>
      </c>
      <c r="Q64" s="88">
        <f>USD!Q65</f>
        <v>85</v>
      </c>
      <c r="R64" s="176">
        <f>USD!R65</f>
        <v>1</v>
      </c>
      <c r="S64" s="176">
        <f>USD!S65</f>
        <v>0.95</v>
      </c>
      <c r="T64" s="176">
        <f>USD!T65</f>
        <v>0.9</v>
      </c>
      <c r="U64" s="176">
        <f>USD!U65</f>
        <v>0.95</v>
      </c>
      <c r="V64" s="176">
        <f>USD!V65</f>
        <v>0.95</v>
      </c>
      <c r="W64" s="176">
        <f>USD!W65</f>
        <v>1</v>
      </c>
      <c r="X64" s="176">
        <f>USD!X65</f>
        <v>0.95</v>
      </c>
      <c r="Y64" s="176">
        <f>USD!Y65</f>
        <v>1</v>
      </c>
      <c r="Z64" s="176">
        <f>USD!Z65</f>
        <v>0.9</v>
      </c>
      <c r="AA64" s="176">
        <f>USD!AA65</f>
        <v>0.85</v>
      </c>
    </row>
    <row r="65" spans="15:27" ht="11.25">
      <c r="O65" s="87" t="str">
        <f>USD!O66</f>
        <v>Омская область (не включая г. Омск)</v>
      </c>
      <c r="P65" s="88">
        <f>USD!P66</f>
        <v>100</v>
      </c>
      <c r="Q65" s="88">
        <f>USD!Q66</f>
        <v>85</v>
      </c>
      <c r="R65" s="176">
        <f>USD!R66</f>
        <v>0.85</v>
      </c>
      <c r="S65" s="176">
        <f>USD!S66</f>
        <v>0.85</v>
      </c>
      <c r="T65" s="176">
        <f>USD!T66</f>
        <v>0.7</v>
      </c>
      <c r="U65" s="176">
        <f>USD!U66</f>
        <v>0.85</v>
      </c>
      <c r="V65" s="176">
        <f>USD!V66</f>
        <v>0.7</v>
      </c>
      <c r="W65" s="176">
        <f>USD!W66</f>
        <v>0.85</v>
      </c>
      <c r="X65" s="176">
        <f>USD!X66</f>
        <v>0.95</v>
      </c>
      <c r="Y65" s="176">
        <f>USD!Y66</f>
        <v>1</v>
      </c>
      <c r="Z65" s="176">
        <f>USD!Z66</f>
        <v>0.9</v>
      </c>
      <c r="AA65" s="176">
        <f>USD!AA66</f>
        <v>0.85</v>
      </c>
    </row>
    <row r="66" spans="15:27" ht="11.25">
      <c r="O66" s="87" t="str">
        <f>USD!O67</f>
        <v>г. Омск</v>
      </c>
      <c r="P66" s="88">
        <f>USD!P67</f>
        <v>100</v>
      </c>
      <c r="Q66" s="88">
        <f>USD!Q67</f>
        <v>85</v>
      </c>
      <c r="R66" s="176">
        <f>USD!R67</f>
        <v>0.9</v>
      </c>
      <c r="S66" s="176">
        <f>USD!S67</f>
        <v>0.85</v>
      </c>
      <c r="T66" s="176">
        <f>USD!T67</f>
        <v>0.7</v>
      </c>
      <c r="U66" s="176">
        <f>USD!U67</f>
        <v>0.85</v>
      </c>
      <c r="V66" s="176">
        <f>USD!V67</f>
        <v>0.7</v>
      </c>
      <c r="W66" s="176">
        <f>USD!W67</f>
        <v>0.9</v>
      </c>
      <c r="X66" s="176">
        <f>USD!X67</f>
        <v>0.95</v>
      </c>
      <c r="Y66" s="176">
        <f>USD!Y67</f>
        <v>1</v>
      </c>
      <c r="Z66" s="176">
        <f>USD!Z67</f>
        <v>0.9</v>
      </c>
      <c r="AA66" s="176">
        <f>USD!AA67</f>
        <v>0.85</v>
      </c>
    </row>
    <row r="67" spans="15:27" ht="11.25">
      <c r="O67" s="87" t="str">
        <f>USD!O68</f>
        <v>Пермский край (не включая г. Пермь)</v>
      </c>
      <c r="P67" s="88">
        <f>USD!P68</f>
        <v>100</v>
      </c>
      <c r="Q67" s="88">
        <f>USD!Q68</f>
        <v>85</v>
      </c>
      <c r="R67" s="176">
        <f>USD!R68</f>
        <v>0.85</v>
      </c>
      <c r="S67" s="176">
        <f>USD!S68</f>
        <v>0.85</v>
      </c>
      <c r="T67" s="176">
        <f>USD!T68</f>
        <v>0.7</v>
      </c>
      <c r="U67" s="176">
        <f>USD!U68</f>
        <v>0.85</v>
      </c>
      <c r="V67" s="176">
        <f>USD!V68</f>
        <v>0.7</v>
      </c>
      <c r="W67" s="176">
        <f>USD!W68</f>
        <v>0.85</v>
      </c>
      <c r="X67" s="176">
        <f>USD!X68</f>
        <v>0.95</v>
      </c>
      <c r="Y67" s="176">
        <f>USD!Y68</f>
        <v>1</v>
      </c>
      <c r="Z67" s="176">
        <f>USD!Z68</f>
        <v>0.9</v>
      </c>
      <c r="AA67" s="176">
        <f>USD!AA68</f>
        <v>0.85</v>
      </c>
    </row>
    <row r="68" spans="15:27" ht="11.25">
      <c r="O68" s="87" t="str">
        <f>USD!O69</f>
        <v>г. Пермь</v>
      </c>
      <c r="P68" s="88">
        <f>USD!P69</f>
        <v>100</v>
      </c>
      <c r="Q68" s="88">
        <f>USD!Q69</f>
        <v>85</v>
      </c>
      <c r="R68" s="176">
        <f>USD!R69</f>
        <v>0.9</v>
      </c>
      <c r="S68" s="176">
        <f>USD!S69</f>
        <v>0.85</v>
      </c>
      <c r="T68" s="176">
        <f>USD!T69</f>
        <v>0.7</v>
      </c>
      <c r="U68" s="176">
        <f>USD!U69</f>
        <v>0.85</v>
      </c>
      <c r="V68" s="176">
        <f>USD!V69</f>
        <v>0.7</v>
      </c>
      <c r="W68" s="176">
        <f>USD!W69</f>
        <v>0.9</v>
      </c>
      <c r="X68" s="176">
        <f>USD!X69</f>
        <v>0.95</v>
      </c>
      <c r="Y68" s="176">
        <f>USD!Y69</f>
        <v>1</v>
      </c>
      <c r="Z68" s="176">
        <f>USD!Z69</f>
        <v>0.9</v>
      </c>
      <c r="AA68" s="176">
        <f>USD!AA69</f>
        <v>0.85</v>
      </c>
    </row>
    <row r="69" spans="15:27" ht="11.25">
      <c r="O69" s="87" t="str">
        <f>USD!O70</f>
        <v>Приморский край (включая г. Владивосток)</v>
      </c>
      <c r="P69" s="88">
        <f>USD!P70</f>
        <v>120</v>
      </c>
      <c r="Q69" s="88">
        <f>USD!Q70</f>
        <v>100</v>
      </c>
      <c r="R69" s="176">
        <f>USD!R70</f>
        <v>0.85</v>
      </c>
      <c r="S69" s="176">
        <f>USD!S70</f>
        <v>0.85</v>
      </c>
      <c r="T69" s="176">
        <f>USD!T70</f>
        <v>0.7</v>
      </c>
      <c r="U69" s="176">
        <f>USD!U70</f>
        <v>0.85</v>
      </c>
      <c r="V69" s="176">
        <f>USD!V70</f>
        <v>0.7</v>
      </c>
      <c r="W69" s="176">
        <f>USD!W70</f>
        <v>0.85</v>
      </c>
      <c r="X69" s="176">
        <f>USD!X70</f>
        <v>0.95</v>
      </c>
      <c r="Y69" s="176">
        <f>USD!Y70</f>
        <v>1</v>
      </c>
      <c r="Z69" s="176">
        <f>USD!Z70</f>
        <v>0.9</v>
      </c>
      <c r="AA69" s="176">
        <f>USD!AA70</f>
        <v>0.85</v>
      </c>
    </row>
    <row r="70" spans="15:27" ht="11.25">
      <c r="O70" s="87" t="str">
        <f>USD!O71</f>
        <v>Республика Коми (не включая г. Сыктывкар)</v>
      </c>
      <c r="P70" s="88">
        <f>USD!P71</f>
        <v>100</v>
      </c>
      <c r="Q70" s="88">
        <f>USD!Q71</f>
        <v>85</v>
      </c>
      <c r="R70" s="176">
        <f>USD!R71</f>
        <v>0.85</v>
      </c>
      <c r="S70" s="176">
        <f>USD!S71</f>
        <v>0.85</v>
      </c>
      <c r="T70" s="176">
        <f>USD!T71</f>
        <v>0.7</v>
      </c>
      <c r="U70" s="176">
        <f>USD!U71</f>
        <v>0.85</v>
      </c>
      <c r="V70" s="176">
        <f>USD!V71</f>
        <v>0.7</v>
      </c>
      <c r="W70" s="176">
        <f>USD!W71</f>
        <v>0.85</v>
      </c>
      <c r="X70" s="176">
        <f>USD!X71</f>
        <v>0.95</v>
      </c>
      <c r="Y70" s="176">
        <f>USD!Y71</f>
        <v>1</v>
      </c>
      <c r="Z70" s="176">
        <f>USD!Z71</f>
        <v>0.9</v>
      </c>
      <c r="AA70" s="176">
        <f>USD!AA71</f>
        <v>0.85</v>
      </c>
    </row>
    <row r="71" spans="15:27" ht="11.25">
      <c r="O71" s="87" t="str">
        <f>USD!O72</f>
        <v>г. Сыктывкар</v>
      </c>
      <c r="P71" s="88">
        <f>USD!P72</f>
        <v>100</v>
      </c>
      <c r="Q71" s="88">
        <f>USD!Q72</f>
        <v>85</v>
      </c>
      <c r="R71" s="176">
        <f>USD!R72</f>
        <v>0.9</v>
      </c>
      <c r="S71" s="176">
        <f>USD!S72</f>
        <v>0.85</v>
      </c>
      <c r="T71" s="176">
        <f>USD!T72</f>
        <v>0.7</v>
      </c>
      <c r="U71" s="176">
        <f>USD!U72</f>
        <v>0.85</v>
      </c>
      <c r="V71" s="176">
        <f>USD!V72</f>
        <v>0.7</v>
      </c>
      <c r="W71" s="176">
        <f>USD!W72</f>
        <v>0.9</v>
      </c>
      <c r="X71" s="176">
        <f>USD!X72</f>
        <v>0.95</v>
      </c>
      <c r="Y71" s="176">
        <f>USD!Y72</f>
        <v>1</v>
      </c>
      <c r="Z71" s="176">
        <f>USD!Z72</f>
        <v>0.9</v>
      </c>
      <c r="AA71" s="176">
        <f>USD!AA72</f>
        <v>0.85</v>
      </c>
    </row>
    <row r="72" spans="15:27" ht="11.25">
      <c r="O72" s="87" t="str">
        <f>USD!O73</f>
        <v>Республика Марий Эл (не включая г. Йошкар-Олу)</v>
      </c>
      <c r="P72" s="88">
        <f>USD!P73</f>
        <v>100</v>
      </c>
      <c r="Q72" s="88">
        <f>USD!Q73</f>
        <v>85</v>
      </c>
      <c r="R72" s="176">
        <f>USD!R73</f>
        <v>0.85</v>
      </c>
      <c r="S72" s="176">
        <f>USD!S73</f>
        <v>0.85</v>
      </c>
      <c r="T72" s="176">
        <f>USD!T73</f>
        <v>0.7</v>
      </c>
      <c r="U72" s="176">
        <f>USD!U73</f>
        <v>0.85</v>
      </c>
      <c r="V72" s="176">
        <f>USD!V73</f>
        <v>0.7</v>
      </c>
      <c r="W72" s="176">
        <f>USD!W73</f>
        <v>0.85</v>
      </c>
      <c r="X72" s="176">
        <f>USD!X73</f>
        <v>0.95</v>
      </c>
      <c r="Y72" s="176">
        <f>USD!Y73</f>
        <v>1</v>
      </c>
      <c r="Z72" s="176">
        <f>USD!Z73</f>
        <v>0.9</v>
      </c>
      <c r="AA72" s="176">
        <f>USD!AA73</f>
        <v>0.85</v>
      </c>
    </row>
    <row r="73" spans="15:27" ht="11.25">
      <c r="O73" s="87" t="str">
        <f>USD!O74</f>
        <v>г. Йошкар-Ола</v>
      </c>
      <c r="P73" s="88">
        <f>USD!P74</f>
        <v>100</v>
      </c>
      <c r="Q73" s="88">
        <f>USD!Q74</f>
        <v>85</v>
      </c>
      <c r="R73" s="176">
        <f>USD!R74</f>
        <v>0.9</v>
      </c>
      <c r="S73" s="176">
        <f>USD!S74</f>
        <v>0.85</v>
      </c>
      <c r="T73" s="176">
        <f>USD!T74</f>
        <v>0.7</v>
      </c>
      <c r="U73" s="176">
        <f>USD!U74</f>
        <v>0.85</v>
      </c>
      <c r="V73" s="176">
        <f>USD!V74</f>
        <v>0.7</v>
      </c>
      <c r="W73" s="176">
        <f>USD!W74</f>
        <v>0.9</v>
      </c>
      <c r="X73" s="176">
        <f>USD!X74</f>
        <v>0.95</v>
      </c>
      <c r="Y73" s="176">
        <f>USD!Y74</f>
        <v>1</v>
      </c>
      <c r="Z73" s="176">
        <f>USD!Z74</f>
        <v>0.9</v>
      </c>
      <c r="AA73" s="176">
        <f>USD!AA74</f>
        <v>0.85</v>
      </c>
    </row>
    <row r="74" spans="15:27" ht="11.25">
      <c r="O74" s="87" t="str">
        <f>USD!O75</f>
        <v>Республика Саха (Якутия) (не включая г. Якутск)</v>
      </c>
      <c r="P74" s="88">
        <f>USD!P75</f>
        <v>120</v>
      </c>
      <c r="Q74" s="88">
        <f>USD!Q75</f>
        <v>100</v>
      </c>
      <c r="R74" s="176">
        <f>USD!R75</f>
        <v>0.85</v>
      </c>
      <c r="S74" s="176">
        <f>USD!S75</f>
        <v>0.85</v>
      </c>
      <c r="T74" s="176">
        <f>USD!T75</f>
        <v>0.7</v>
      </c>
      <c r="U74" s="176">
        <f>USD!U75</f>
        <v>0.85</v>
      </c>
      <c r="V74" s="176">
        <f>USD!V75</f>
        <v>0.7</v>
      </c>
      <c r="W74" s="176">
        <f>USD!W75</f>
        <v>0.85</v>
      </c>
      <c r="X74" s="176">
        <f>USD!X75</f>
        <v>0.95</v>
      </c>
      <c r="Y74" s="176">
        <f>USD!Y75</f>
        <v>1</v>
      </c>
      <c r="Z74" s="176">
        <f>USD!Z75</f>
        <v>0.9</v>
      </c>
      <c r="AA74" s="176">
        <f>USD!AA75</f>
        <v>0.85</v>
      </c>
    </row>
    <row r="75" spans="15:27" ht="11.25">
      <c r="O75" s="87" t="str">
        <f>USD!O76</f>
        <v>г. Якутск</v>
      </c>
      <c r="P75" s="88">
        <f>USD!P76</f>
        <v>120</v>
      </c>
      <c r="Q75" s="88">
        <f>USD!Q76</f>
        <v>100</v>
      </c>
      <c r="R75" s="176">
        <f>USD!R76</f>
        <v>0.9</v>
      </c>
      <c r="S75" s="176">
        <f>USD!S76</f>
        <v>0.85</v>
      </c>
      <c r="T75" s="176">
        <f>USD!T76</f>
        <v>0.7</v>
      </c>
      <c r="U75" s="176">
        <f>USD!U76</f>
        <v>0.85</v>
      </c>
      <c r="V75" s="176">
        <f>USD!V76</f>
        <v>0.7</v>
      </c>
      <c r="W75" s="176">
        <f>USD!W76</f>
        <v>0.9</v>
      </c>
      <c r="X75" s="176">
        <f>USD!X76</f>
        <v>0.95</v>
      </c>
      <c r="Y75" s="176">
        <f>USD!Y76</f>
        <v>1</v>
      </c>
      <c r="Z75" s="176">
        <f>USD!Z76</f>
        <v>0.9</v>
      </c>
      <c r="AA75" s="176">
        <f>USD!AA76</f>
        <v>0.85</v>
      </c>
    </row>
    <row r="76" spans="15:27" ht="11.25">
      <c r="O76" s="87" t="str">
        <f>USD!O77</f>
        <v>Республика Татарстан (не включая г. Казань)</v>
      </c>
      <c r="P76" s="88">
        <f>USD!P77</f>
        <v>100</v>
      </c>
      <c r="Q76" s="88">
        <f>USD!Q77</f>
        <v>85</v>
      </c>
      <c r="R76" s="176">
        <f>USD!R77</f>
        <v>0.85</v>
      </c>
      <c r="S76" s="176">
        <f>USD!S77</f>
        <v>0.85</v>
      </c>
      <c r="T76" s="176">
        <f>USD!T77</f>
        <v>0.7</v>
      </c>
      <c r="U76" s="176">
        <f>USD!U77</f>
        <v>0.85</v>
      </c>
      <c r="V76" s="176">
        <f>USD!V77</f>
        <v>0.7</v>
      </c>
      <c r="W76" s="176">
        <f>USD!W77</f>
        <v>0.85</v>
      </c>
      <c r="X76" s="176">
        <f>USD!X77</f>
        <v>0.95</v>
      </c>
      <c r="Y76" s="176">
        <f>USD!Y77</f>
        <v>1</v>
      </c>
      <c r="Z76" s="176">
        <f>USD!Z77</f>
        <v>0.9</v>
      </c>
      <c r="AA76" s="176">
        <f>USD!AA77</f>
        <v>0.85</v>
      </c>
    </row>
    <row r="77" spans="15:27" ht="11.25">
      <c r="O77" s="87" t="str">
        <f>USD!O78</f>
        <v>г. Казань</v>
      </c>
      <c r="P77" s="88">
        <f>USD!P78</f>
        <v>100</v>
      </c>
      <c r="Q77" s="88">
        <f>USD!Q78</f>
        <v>85</v>
      </c>
      <c r="R77" s="176">
        <f>USD!R78</f>
        <v>1</v>
      </c>
      <c r="S77" s="176">
        <f>USD!S78</f>
        <v>0.95</v>
      </c>
      <c r="T77" s="176">
        <f>USD!T78</f>
        <v>0.9</v>
      </c>
      <c r="U77" s="176">
        <f>USD!U78</f>
        <v>0.95</v>
      </c>
      <c r="V77" s="176">
        <f>USD!V78</f>
        <v>0.95</v>
      </c>
      <c r="W77" s="176">
        <f>USD!W78</f>
        <v>1</v>
      </c>
      <c r="X77" s="176">
        <f>USD!X78</f>
        <v>0.95</v>
      </c>
      <c r="Y77" s="176">
        <f>USD!Y78</f>
        <v>1</v>
      </c>
      <c r="Z77" s="176">
        <f>USD!Z78</f>
        <v>0.9</v>
      </c>
      <c r="AA77" s="176">
        <f>USD!AA78</f>
        <v>0.85</v>
      </c>
    </row>
    <row r="78" spans="15:27" ht="11.25">
      <c r="O78" s="87" t="str">
        <f>USD!O79</f>
        <v>Ростовская область (не включая г. Ростов-на-Дону)</v>
      </c>
      <c r="P78" s="88">
        <f>USD!P79</f>
        <v>100</v>
      </c>
      <c r="Q78" s="88">
        <f>USD!Q79</f>
        <v>85</v>
      </c>
      <c r="R78" s="176">
        <f>USD!R79</f>
        <v>0.85</v>
      </c>
      <c r="S78" s="176">
        <f>USD!S79</f>
        <v>0.85</v>
      </c>
      <c r="T78" s="176">
        <f>USD!T79</f>
        <v>0.7</v>
      </c>
      <c r="U78" s="176">
        <f>USD!U79</f>
        <v>0.85</v>
      </c>
      <c r="V78" s="176">
        <f>USD!V79</f>
        <v>0.7</v>
      </c>
      <c r="W78" s="176">
        <f>USD!W79</f>
        <v>0.85</v>
      </c>
      <c r="X78" s="176">
        <f>USD!X79</f>
        <v>0.95</v>
      </c>
      <c r="Y78" s="176">
        <f>USD!Y79</f>
        <v>1</v>
      </c>
      <c r="Z78" s="176">
        <f>USD!Z79</f>
        <v>0.9</v>
      </c>
      <c r="AA78" s="176">
        <f>USD!AA79</f>
        <v>0.85</v>
      </c>
    </row>
    <row r="79" spans="15:27" ht="11.25">
      <c r="O79" s="87" t="str">
        <f>USD!O80</f>
        <v>г. Ростов-на-Дону</v>
      </c>
      <c r="P79" s="88">
        <f>USD!P80</f>
        <v>100</v>
      </c>
      <c r="Q79" s="88">
        <f>USD!Q80</f>
        <v>85</v>
      </c>
      <c r="R79" s="176">
        <f>USD!R80</f>
        <v>0.95</v>
      </c>
      <c r="S79" s="176">
        <f>USD!S80</f>
        <v>0.95</v>
      </c>
      <c r="T79" s="176">
        <f>USD!T80</f>
        <v>0.9</v>
      </c>
      <c r="U79" s="176">
        <f>USD!U80</f>
        <v>0.95</v>
      </c>
      <c r="V79" s="176">
        <f>USD!V80</f>
        <v>0.95</v>
      </c>
      <c r="W79" s="176">
        <f>USD!W80</f>
        <v>0.95</v>
      </c>
      <c r="X79" s="176">
        <f>USD!X80</f>
        <v>0.95</v>
      </c>
      <c r="Y79" s="176">
        <f>USD!Y80</f>
        <v>1</v>
      </c>
      <c r="Z79" s="176">
        <f>USD!Z80</f>
        <v>0.9</v>
      </c>
      <c r="AA79" s="176">
        <f>USD!AA80</f>
        <v>0.85</v>
      </c>
    </row>
    <row r="80" spans="15:27" ht="11.25">
      <c r="O80" s="87" t="str">
        <f>USD!O81</f>
        <v>Самарская область (не включая г. Самара и г. Тольятти)</v>
      </c>
      <c r="P80" s="88">
        <f>USD!P81</f>
        <v>100</v>
      </c>
      <c r="Q80" s="88">
        <f>USD!Q81</f>
        <v>85</v>
      </c>
      <c r="R80" s="176">
        <f>USD!R81</f>
        <v>0.85</v>
      </c>
      <c r="S80" s="176">
        <f>USD!S81</f>
        <v>0.85</v>
      </c>
      <c r="T80" s="176">
        <f>USD!T81</f>
        <v>0.7</v>
      </c>
      <c r="U80" s="176">
        <f>USD!U81</f>
        <v>0.85</v>
      </c>
      <c r="V80" s="176">
        <f>USD!V81</f>
        <v>0.7</v>
      </c>
      <c r="W80" s="176">
        <f>USD!W81</f>
        <v>0.85</v>
      </c>
      <c r="X80" s="176">
        <f>USD!X81</f>
        <v>0.95</v>
      </c>
      <c r="Y80" s="176">
        <f>USD!Y81</f>
        <v>1</v>
      </c>
      <c r="Z80" s="176">
        <f>USD!Z81</f>
        <v>0.9</v>
      </c>
      <c r="AA80" s="176">
        <f>USD!AA81</f>
        <v>0.85</v>
      </c>
    </row>
    <row r="81" spans="15:27" ht="11.25">
      <c r="O81" s="87" t="str">
        <f>USD!O82</f>
        <v>г. Самара</v>
      </c>
      <c r="P81" s="88">
        <f>USD!P82</f>
        <v>100</v>
      </c>
      <c r="Q81" s="88">
        <f>USD!Q82</f>
        <v>85</v>
      </c>
      <c r="R81" s="176">
        <f>USD!R82</f>
        <v>1</v>
      </c>
      <c r="S81" s="176">
        <f>USD!S82</f>
        <v>0.95</v>
      </c>
      <c r="T81" s="176">
        <f>USD!T82</f>
        <v>0.9</v>
      </c>
      <c r="U81" s="176">
        <f>USD!U82</f>
        <v>0.95</v>
      </c>
      <c r="V81" s="176">
        <f>USD!V82</f>
        <v>0.95</v>
      </c>
      <c r="W81" s="176">
        <f>USD!W82</f>
        <v>1</v>
      </c>
      <c r="X81" s="176">
        <f>USD!X82</f>
        <v>0.95</v>
      </c>
      <c r="Y81" s="176">
        <f>USD!Y82</f>
        <v>1</v>
      </c>
      <c r="Z81" s="176">
        <f>USD!Z82</f>
        <v>0.9</v>
      </c>
      <c r="AA81" s="176">
        <f>USD!AA82</f>
        <v>0.85</v>
      </c>
    </row>
    <row r="82" spans="15:27" ht="11.25">
      <c r="O82" s="87" t="str">
        <f>USD!O83</f>
        <v>г. Тольятти</v>
      </c>
      <c r="P82" s="88">
        <f>USD!P83</f>
        <v>100</v>
      </c>
      <c r="Q82" s="88">
        <f>USD!Q83</f>
        <v>85</v>
      </c>
      <c r="R82" s="176">
        <f>USD!R83</f>
        <v>0.9</v>
      </c>
      <c r="S82" s="176">
        <f>USD!S83</f>
        <v>0.85</v>
      </c>
      <c r="T82" s="176">
        <f>USD!T83</f>
        <v>0.7</v>
      </c>
      <c r="U82" s="176">
        <f>USD!U83</f>
        <v>0.85</v>
      </c>
      <c r="V82" s="176">
        <f>USD!V83</f>
        <v>0.7</v>
      </c>
      <c r="W82" s="176">
        <f>USD!W83</f>
        <v>0.9</v>
      </c>
      <c r="X82" s="176">
        <f>USD!X83</f>
        <v>0.95</v>
      </c>
      <c r="Y82" s="176">
        <f>USD!Y83</f>
        <v>1</v>
      </c>
      <c r="Z82" s="176">
        <f>USD!Z83</f>
        <v>0.9</v>
      </c>
      <c r="AA82" s="176">
        <f>USD!AA83</f>
        <v>0.85</v>
      </c>
    </row>
    <row r="83" spans="15:27" ht="11.25">
      <c r="O83" s="87" t="str">
        <f>USD!O84</f>
        <v>Саратовская область (включая г. Саратов)</v>
      </c>
      <c r="P83" s="88">
        <f>USD!P84</f>
        <v>100</v>
      </c>
      <c r="Q83" s="88">
        <f>USD!Q84</f>
        <v>85</v>
      </c>
      <c r="R83" s="176">
        <f>USD!R84</f>
        <v>0.85</v>
      </c>
      <c r="S83" s="176">
        <f>USD!S84</f>
        <v>0.85</v>
      </c>
      <c r="T83" s="176">
        <f>USD!T84</f>
        <v>0.7</v>
      </c>
      <c r="U83" s="176">
        <f>USD!U84</f>
        <v>0.85</v>
      </c>
      <c r="V83" s="176">
        <f>USD!V84</f>
        <v>0.7</v>
      </c>
      <c r="W83" s="176">
        <f>USD!W84</f>
        <v>0.85</v>
      </c>
      <c r="X83" s="176">
        <f>USD!X84</f>
        <v>0.95</v>
      </c>
      <c r="Y83" s="176">
        <f>USD!Y84</f>
        <v>1</v>
      </c>
      <c r="Z83" s="176">
        <f>USD!Z84</f>
        <v>0.9</v>
      </c>
      <c r="AA83" s="176">
        <f>USD!AA84</f>
        <v>0.85</v>
      </c>
    </row>
    <row r="84" spans="15:27" ht="11.25">
      <c r="O84" s="87" t="str">
        <f>USD!O85</f>
        <v>Свердловская область (не включая г. Екатеринбург)</v>
      </c>
      <c r="P84" s="88">
        <f>USD!P85</f>
        <v>100</v>
      </c>
      <c r="Q84" s="88">
        <f>USD!Q85</f>
        <v>85</v>
      </c>
      <c r="R84" s="176">
        <f>USD!R85</f>
        <v>0.85</v>
      </c>
      <c r="S84" s="176">
        <f>USD!S85</f>
        <v>0.85</v>
      </c>
      <c r="T84" s="176">
        <f>USD!T85</f>
        <v>0.7</v>
      </c>
      <c r="U84" s="176">
        <f>USD!U85</f>
        <v>0.85</v>
      </c>
      <c r="V84" s="176">
        <f>USD!V85</f>
        <v>0.7</v>
      </c>
      <c r="W84" s="176">
        <f>USD!W85</f>
        <v>0.85</v>
      </c>
      <c r="X84" s="176">
        <f>USD!X85</f>
        <v>0.95</v>
      </c>
      <c r="Y84" s="176">
        <f>USD!Y85</f>
        <v>1</v>
      </c>
      <c r="Z84" s="176">
        <f>USD!Z85</f>
        <v>0.9</v>
      </c>
      <c r="AA84" s="176">
        <f>USD!AA85</f>
        <v>0.85</v>
      </c>
    </row>
    <row r="85" spans="15:27" ht="11.25">
      <c r="O85" s="87" t="str">
        <f>USD!O86</f>
        <v>г. Екатеринбург</v>
      </c>
      <c r="P85" s="88">
        <f>USD!P86</f>
        <v>100</v>
      </c>
      <c r="Q85" s="88">
        <f>USD!Q86</f>
        <v>85</v>
      </c>
      <c r="R85" s="176">
        <f>USD!R86</f>
        <v>1</v>
      </c>
      <c r="S85" s="176">
        <f>USD!S86</f>
        <v>0.95</v>
      </c>
      <c r="T85" s="176">
        <f>USD!T86</f>
        <v>0.9</v>
      </c>
      <c r="U85" s="176">
        <f>USD!U86</f>
        <v>0.95</v>
      </c>
      <c r="V85" s="176">
        <f>USD!V86</f>
        <v>0.95</v>
      </c>
      <c r="W85" s="176">
        <f>USD!W86</f>
        <v>1</v>
      </c>
      <c r="X85" s="176">
        <f>USD!X86</f>
        <v>0.95</v>
      </c>
      <c r="Y85" s="176">
        <f>USD!Y86</f>
        <v>1</v>
      </c>
      <c r="Z85" s="176">
        <f>USD!Z86</f>
        <v>0.9</v>
      </c>
      <c r="AA85" s="176">
        <f>USD!AA86</f>
        <v>0.85</v>
      </c>
    </row>
    <row r="86" spans="15:27" ht="11.25">
      <c r="O86" s="87" t="str">
        <f>USD!O87</f>
        <v>Смоленская область (не включая г. Смоленск)</v>
      </c>
      <c r="P86" s="88">
        <f>USD!P87</f>
        <v>100</v>
      </c>
      <c r="Q86" s="88">
        <f>USD!Q87</f>
        <v>85</v>
      </c>
      <c r="R86" s="176">
        <f>USD!R87</f>
        <v>0.85</v>
      </c>
      <c r="S86" s="176">
        <f>USD!S87</f>
        <v>0.85</v>
      </c>
      <c r="T86" s="176">
        <f>USD!T87</f>
        <v>0.7</v>
      </c>
      <c r="U86" s="176">
        <f>USD!U87</f>
        <v>0.85</v>
      </c>
      <c r="V86" s="176">
        <f>USD!V87</f>
        <v>0.7</v>
      </c>
      <c r="W86" s="176">
        <f>USD!W87</f>
        <v>0.85</v>
      </c>
      <c r="X86" s="176">
        <f>USD!X87</f>
        <v>0.95</v>
      </c>
      <c r="Y86" s="176">
        <f>USD!Y87</f>
        <v>1</v>
      </c>
      <c r="Z86" s="176">
        <f>USD!Z87</f>
        <v>0.9</v>
      </c>
      <c r="AA86" s="176">
        <f>USD!AA87</f>
        <v>0.85</v>
      </c>
    </row>
    <row r="87" spans="15:27" ht="11.25">
      <c r="O87" s="87" t="str">
        <f>USD!O88</f>
        <v>г. Смоленск</v>
      </c>
      <c r="P87" s="88">
        <f>USD!P88</f>
        <v>100</v>
      </c>
      <c r="Q87" s="88">
        <f>USD!Q88</f>
        <v>85</v>
      </c>
      <c r="R87" s="176">
        <f>USD!R88</f>
        <v>0.9</v>
      </c>
      <c r="S87" s="176">
        <f>USD!S88</f>
        <v>0.85</v>
      </c>
      <c r="T87" s="176">
        <f>USD!T88</f>
        <v>0.7</v>
      </c>
      <c r="U87" s="176">
        <f>USD!U88</f>
        <v>0.85</v>
      </c>
      <c r="V87" s="176">
        <f>USD!V88</f>
        <v>0.7</v>
      </c>
      <c r="W87" s="176">
        <f>USD!W88</f>
        <v>0.9</v>
      </c>
      <c r="X87" s="176">
        <f>USD!X88</f>
        <v>0.95</v>
      </c>
      <c r="Y87" s="176">
        <f>USD!Y88</f>
        <v>1</v>
      </c>
      <c r="Z87" s="176">
        <f>USD!Z88</f>
        <v>0.9</v>
      </c>
      <c r="AA87" s="176">
        <f>USD!AA88</f>
        <v>0.85</v>
      </c>
    </row>
    <row r="88" spans="15:27" ht="11.25">
      <c r="O88" s="87" t="str">
        <f>USD!O89</f>
        <v>Тульская область (не включая г. Тула и г. Новомосковск)</v>
      </c>
      <c r="P88" s="88">
        <f>USD!P89</f>
        <v>100</v>
      </c>
      <c r="Q88" s="88">
        <f>USD!Q89</f>
        <v>85</v>
      </c>
      <c r="R88" s="176">
        <f>USD!R89</f>
        <v>0.85</v>
      </c>
      <c r="S88" s="176">
        <f>USD!S89</f>
        <v>0.85</v>
      </c>
      <c r="T88" s="176">
        <f>USD!T89</f>
        <v>0.7</v>
      </c>
      <c r="U88" s="176">
        <f>USD!U89</f>
        <v>0.85</v>
      </c>
      <c r="V88" s="176">
        <f>USD!V89</f>
        <v>0.7</v>
      </c>
      <c r="W88" s="176">
        <f>USD!W89</f>
        <v>0.85</v>
      </c>
      <c r="X88" s="176">
        <f>USD!X89</f>
        <v>0.95</v>
      </c>
      <c r="Y88" s="176">
        <f>USD!Y89</f>
        <v>1</v>
      </c>
      <c r="Z88" s="176">
        <f>USD!Z89</f>
        <v>0.9</v>
      </c>
      <c r="AA88" s="176">
        <f>USD!AA89</f>
        <v>0.85</v>
      </c>
    </row>
    <row r="89" spans="15:27" ht="11.25">
      <c r="O89" s="87" t="str">
        <f>USD!O90</f>
        <v>г. Тула</v>
      </c>
      <c r="P89" s="88">
        <f>USD!P90</f>
        <v>100</v>
      </c>
      <c r="Q89" s="88">
        <f>USD!Q90</f>
        <v>85</v>
      </c>
      <c r="R89" s="176">
        <f>USD!R90</f>
        <v>0.9</v>
      </c>
      <c r="S89" s="176">
        <f>USD!S90</f>
        <v>0.85</v>
      </c>
      <c r="T89" s="176">
        <f>USD!T90</f>
        <v>0.7</v>
      </c>
      <c r="U89" s="176">
        <f>USD!U90</f>
        <v>0.85</v>
      </c>
      <c r="V89" s="176">
        <f>USD!V90</f>
        <v>0.7</v>
      </c>
      <c r="W89" s="176">
        <f>USD!W90</f>
        <v>0.9</v>
      </c>
      <c r="X89" s="176">
        <f>USD!X90</f>
        <v>0.95</v>
      </c>
      <c r="Y89" s="176">
        <f>USD!Y90</f>
        <v>1</v>
      </c>
      <c r="Z89" s="176">
        <f>USD!Z90</f>
        <v>0.9</v>
      </c>
      <c r="AA89" s="176">
        <f>USD!AA90</f>
        <v>0.85</v>
      </c>
    </row>
    <row r="90" spans="15:27" ht="11.25">
      <c r="O90" s="87" t="str">
        <f>USD!O91</f>
        <v>г. Новомосковск</v>
      </c>
      <c r="P90" s="88">
        <f>USD!P91</f>
        <v>100</v>
      </c>
      <c r="Q90" s="88">
        <f>USD!Q91</f>
        <v>85</v>
      </c>
      <c r="R90" s="176">
        <f>USD!R91</f>
        <v>0.9</v>
      </c>
      <c r="S90" s="176">
        <f>USD!S91</f>
        <v>0.85</v>
      </c>
      <c r="T90" s="176">
        <f>USD!T91</f>
        <v>0.7</v>
      </c>
      <c r="U90" s="176">
        <f>USD!U91</f>
        <v>0.85</v>
      </c>
      <c r="V90" s="176">
        <f>USD!V91</f>
        <v>0.7</v>
      </c>
      <c r="W90" s="176">
        <f>USD!W91</f>
        <v>0.9</v>
      </c>
      <c r="X90" s="176">
        <f>USD!X91</f>
        <v>0.95</v>
      </c>
      <c r="Y90" s="176">
        <f>USD!Y91</f>
        <v>1</v>
      </c>
      <c r="Z90" s="176">
        <f>USD!Z91</f>
        <v>0.9</v>
      </c>
      <c r="AA90" s="176">
        <f>USD!AA91</f>
        <v>0.85</v>
      </c>
    </row>
    <row r="91" spans="15:27" ht="11.25">
      <c r="O91" s="87" t="str">
        <f>USD!O92</f>
        <v>Тверская область (включая г. Тверь)</v>
      </c>
      <c r="P91" s="88">
        <f>USD!P92</f>
        <v>100</v>
      </c>
      <c r="Q91" s="88">
        <f>USD!Q92</f>
        <v>85</v>
      </c>
      <c r="R91" s="176">
        <f>USD!R92</f>
        <v>0.85</v>
      </c>
      <c r="S91" s="176">
        <f>USD!S92</f>
        <v>0.85</v>
      </c>
      <c r="T91" s="176">
        <f>USD!T92</f>
        <v>0.7</v>
      </c>
      <c r="U91" s="176">
        <f>USD!U92</f>
        <v>0.85</v>
      </c>
      <c r="V91" s="176">
        <f>USD!V92</f>
        <v>0.7</v>
      </c>
      <c r="W91" s="176">
        <f>USD!W92</f>
        <v>0.85</v>
      </c>
      <c r="X91" s="176">
        <f>USD!X92</f>
        <v>0.95</v>
      </c>
      <c r="Y91" s="176">
        <f>USD!Y92</f>
        <v>1</v>
      </c>
      <c r="Z91" s="176">
        <f>USD!Z92</f>
        <v>0.9</v>
      </c>
      <c r="AA91" s="176">
        <f>USD!AA92</f>
        <v>0.85</v>
      </c>
    </row>
    <row r="92" spans="15:27" ht="11.25">
      <c r="O92" s="87" t="str">
        <f>USD!O93</f>
        <v>Томская область (не включая г. Томск)</v>
      </c>
      <c r="P92" s="88">
        <f>USD!P93</f>
        <v>100</v>
      </c>
      <c r="Q92" s="88">
        <f>USD!Q93</f>
        <v>85</v>
      </c>
      <c r="R92" s="176">
        <f>USD!R93</f>
        <v>0.85</v>
      </c>
      <c r="S92" s="176">
        <f>USD!S93</f>
        <v>0.85</v>
      </c>
      <c r="T92" s="176">
        <f>USD!T93</f>
        <v>0.7</v>
      </c>
      <c r="U92" s="176">
        <f>USD!U93</f>
        <v>0.85</v>
      </c>
      <c r="V92" s="176">
        <f>USD!V93</f>
        <v>0.7</v>
      </c>
      <c r="W92" s="176">
        <f>USD!W93</f>
        <v>0.85</v>
      </c>
      <c r="X92" s="176">
        <f>USD!X93</f>
        <v>0.95</v>
      </c>
      <c r="Y92" s="176">
        <f>USD!Y93</f>
        <v>1</v>
      </c>
      <c r="Z92" s="176">
        <f>USD!Z93</f>
        <v>0.9</v>
      </c>
      <c r="AA92" s="176">
        <f>USD!AA93</f>
        <v>0.85</v>
      </c>
    </row>
    <row r="93" spans="15:27" ht="11.25">
      <c r="O93" s="87" t="str">
        <f>USD!O94</f>
        <v>г. Томск</v>
      </c>
      <c r="P93" s="88">
        <f>USD!P94</f>
        <v>100</v>
      </c>
      <c r="Q93" s="88">
        <f>USD!Q94</f>
        <v>85</v>
      </c>
      <c r="R93" s="176">
        <f>USD!R94</f>
        <v>0.9</v>
      </c>
      <c r="S93" s="176">
        <f>USD!S94</f>
        <v>0.85</v>
      </c>
      <c r="T93" s="176">
        <f>USD!T94</f>
        <v>0.7</v>
      </c>
      <c r="U93" s="176">
        <f>USD!U94</f>
        <v>0.85</v>
      </c>
      <c r="V93" s="176">
        <f>USD!V94</f>
        <v>0.7</v>
      </c>
      <c r="W93" s="176">
        <f>USD!W94</f>
        <v>0.9</v>
      </c>
      <c r="X93" s="176">
        <f>USD!X94</f>
        <v>0.95</v>
      </c>
      <c r="Y93" s="176">
        <f>USD!Y94</f>
        <v>1</v>
      </c>
      <c r="Z93" s="176">
        <f>USD!Z94</f>
        <v>0.9</v>
      </c>
      <c r="AA93" s="176">
        <f>USD!AA94</f>
        <v>0.85</v>
      </c>
    </row>
    <row r="94" spans="15:27" ht="11.25">
      <c r="O94" s="87" t="str">
        <f>USD!O95</f>
        <v>Тюменская область (не включая г. Тюмень)</v>
      </c>
      <c r="P94" s="88">
        <f>USD!P95</f>
        <v>100</v>
      </c>
      <c r="Q94" s="88">
        <f>USD!Q95</f>
        <v>85</v>
      </c>
      <c r="R94" s="176">
        <f>USD!R95</f>
        <v>0.85</v>
      </c>
      <c r="S94" s="176">
        <f>USD!S95</f>
        <v>0.85</v>
      </c>
      <c r="T94" s="176">
        <f>USD!T95</f>
        <v>0.7</v>
      </c>
      <c r="U94" s="176">
        <f>USD!U95</f>
        <v>0.85</v>
      </c>
      <c r="V94" s="176">
        <f>USD!V95</f>
        <v>0.7</v>
      </c>
      <c r="W94" s="176">
        <f>USD!W95</f>
        <v>0.85</v>
      </c>
      <c r="X94" s="176">
        <f>USD!X95</f>
        <v>0.95</v>
      </c>
      <c r="Y94" s="176">
        <f>USD!Y95</f>
        <v>1</v>
      </c>
      <c r="Z94" s="176">
        <f>USD!Z95</f>
        <v>0.9</v>
      </c>
      <c r="AA94" s="176">
        <f>USD!AA95</f>
        <v>0.85</v>
      </c>
    </row>
    <row r="95" spans="15:27" ht="11.25">
      <c r="O95" s="87" t="str">
        <f>USD!O96</f>
        <v>г. Тюмень</v>
      </c>
      <c r="P95" s="88">
        <f>USD!P96</f>
        <v>100</v>
      </c>
      <c r="Q95" s="88">
        <f>USD!Q96</f>
        <v>85</v>
      </c>
      <c r="R95" s="176">
        <f>USD!R96</f>
        <v>0.95</v>
      </c>
      <c r="S95" s="176">
        <f>USD!S96</f>
        <v>0.95</v>
      </c>
      <c r="T95" s="176">
        <f>USD!T96</f>
        <v>0.9</v>
      </c>
      <c r="U95" s="176">
        <f>USD!U96</f>
        <v>0.95</v>
      </c>
      <c r="V95" s="176">
        <f>USD!V96</f>
        <v>0.95</v>
      </c>
      <c r="W95" s="176">
        <f>USD!W96</f>
        <v>0.95</v>
      </c>
      <c r="X95" s="176">
        <f>USD!X96</f>
        <v>0.95</v>
      </c>
      <c r="Y95" s="176">
        <f>USD!Y96</f>
        <v>1</v>
      </c>
      <c r="Z95" s="176">
        <f>USD!Z96</f>
        <v>0.9</v>
      </c>
      <c r="AA95" s="176">
        <f>USD!AA96</f>
        <v>0.85</v>
      </c>
    </row>
    <row r="96" spans="15:27" ht="11.25">
      <c r="O96" s="87" t="str">
        <f>USD!O97</f>
        <v>Ульяновская область (не включая г. Ульяновск)</v>
      </c>
      <c r="P96" s="88">
        <f>USD!P97</f>
        <v>100</v>
      </c>
      <c r="Q96" s="88">
        <f>USD!Q97</f>
        <v>85</v>
      </c>
      <c r="R96" s="176">
        <f>USD!R97</f>
        <v>0.85</v>
      </c>
      <c r="S96" s="176">
        <f>USD!S97</f>
        <v>0.85</v>
      </c>
      <c r="T96" s="176">
        <f>USD!T97</f>
        <v>0.7</v>
      </c>
      <c r="U96" s="176">
        <f>USD!U97</f>
        <v>0.85</v>
      </c>
      <c r="V96" s="176">
        <f>USD!V97</f>
        <v>0.7</v>
      </c>
      <c r="W96" s="176">
        <f>USD!W97</f>
        <v>0.85</v>
      </c>
      <c r="X96" s="176">
        <f>USD!X97</f>
        <v>0.95</v>
      </c>
      <c r="Y96" s="176">
        <f>USD!Y97</f>
        <v>1</v>
      </c>
      <c r="Z96" s="176">
        <f>USD!Z97</f>
        <v>0.9</v>
      </c>
      <c r="AA96" s="176">
        <f>USD!AA97</f>
        <v>0.85</v>
      </c>
    </row>
    <row r="97" spans="15:27" ht="11.25">
      <c r="O97" s="87" t="str">
        <f>USD!O98</f>
        <v>г. Ульяновск</v>
      </c>
      <c r="P97" s="88">
        <f>USD!P98</f>
        <v>100</v>
      </c>
      <c r="Q97" s="88">
        <f>USD!Q98</f>
        <v>85</v>
      </c>
      <c r="R97" s="176">
        <f>USD!R98</f>
        <v>0.9</v>
      </c>
      <c r="S97" s="176">
        <f>USD!S98</f>
        <v>0.85</v>
      </c>
      <c r="T97" s="176">
        <f>USD!T98</f>
        <v>0.7</v>
      </c>
      <c r="U97" s="176">
        <f>USD!U98</f>
        <v>0.85</v>
      </c>
      <c r="V97" s="176">
        <f>USD!V98</f>
        <v>0.7</v>
      </c>
      <c r="W97" s="176">
        <f>USD!W98</f>
        <v>0.9</v>
      </c>
      <c r="X97" s="176">
        <f>USD!X98</f>
        <v>0.95</v>
      </c>
      <c r="Y97" s="176">
        <f>USD!Y98</f>
        <v>1</v>
      </c>
      <c r="Z97" s="176">
        <f>USD!Z98</f>
        <v>0.9</v>
      </c>
      <c r="AA97" s="176">
        <f>USD!AA98</f>
        <v>0.85</v>
      </c>
    </row>
    <row r="98" spans="15:27" ht="11.25">
      <c r="O98" s="87" t="str">
        <f>USD!O99</f>
        <v>Хабаровский край (не включая г. Хабаровск)</v>
      </c>
      <c r="P98" s="88">
        <f>USD!P99</f>
        <v>120</v>
      </c>
      <c r="Q98" s="88">
        <f>USD!Q99</f>
        <v>100</v>
      </c>
      <c r="R98" s="176">
        <f>USD!R99</f>
        <v>0.85</v>
      </c>
      <c r="S98" s="176">
        <f>USD!S99</f>
        <v>0.85</v>
      </c>
      <c r="T98" s="176">
        <f>USD!T99</f>
        <v>0.7</v>
      </c>
      <c r="U98" s="176">
        <f>USD!U99</f>
        <v>0.85</v>
      </c>
      <c r="V98" s="176">
        <f>USD!V99</f>
        <v>0.7</v>
      </c>
      <c r="W98" s="176">
        <f>USD!W99</f>
        <v>0.85</v>
      </c>
      <c r="X98" s="176">
        <f>USD!X99</f>
        <v>0.95</v>
      </c>
      <c r="Y98" s="176">
        <f>USD!Y99</f>
        <v>1</v>
      </c>
      <c r="Z98" s="176">
        <f>USD!Z99</f>
        <v>0.9</v>
      </c>
      <c r="AA98" s="176">
        <f>USD!AA99</f>
        <v>0.85</v>
      </c>
    </row>
    <row r="99" spans="15:27" ht="11.25">
      <c r="O99" s="87" t="str">
        <f>USD!O100</f>
        <v>г. Хабаровск</v>
      </c>
      <c r="P99" s="88">
        <f>USD!P100</f>
        <v>120</v>
      </c>
      <c r="Q99" s="88">
        <f>USD!Q100</f>
        <v>100</v>
      </c>
      <c r="R99" s="176">
        <f>USD!R100</f>
        <v>0.95</v>
      </c>
      <c r="S99" s="176">
        <f>USD!S100</f>
        <v>0.95</v>
      </c>
      <c r="T99" s="176">
        <f>USD!T100</f>
        <v>0.9</v>
      </c>
      <c r="U99" s="176">
        <f>USD!U100</f>
        <v>0.95</v>
      </c>
      <c r="V99" s="176">
        <f>USD!V100</f>
        <v>0.95</v>
      </c>
      <c r="W99" s="176">
        <f>USD!W100</f>
        <v>0.95</v>
      </c>
      <c r="X99" s="176">
        <f>USD!X100</f>
        <v>0.95</v>
      </c>
      <c r="Y99" s="176">
        <f>USD!Y100</f>
        <v>1</v>
      </c>
      <c r="Z99" s="176">
        <f>USD!Z100</f>
        <v>0.9</v>
      </c>
      <c r="AA99" s="176">
        <f>USD!AA100</f>
        <v>0.85</v>
      </c>
    </row>
    <row r="100" spans="15:27" ht="11.25">
      <c r="O100" s="87" t="str">
        <f>USD!O101</f>
        <v>Челябинская область (не включая г. Челябинск)</v>
      </c>
      <c r="P100" s="88">
        <f>USD!P101</f>
        <v>100</v>
      </c>
      <c r="Q100" s="88">
        <f>USD!Q101</f>
        <v>85</v>
      </c>
      <c r="R100" s="176">
        <f>USD!R101</f>
        <v>0.85</v>
      </c>
      <c r="S100" s="176">
        <f>USD!S101</f>
        <v>0.85</v>
      </c>
      <c r="T100" s="176">
        <f>USD!T101</f>
        <v>0.7</v>
      </c>
      <c r="U100" s="176">
        <f>USD!U101</f>
        <v>0.85</v>
      </c>
      <c r="V100" s="176">
        <f>USD!V101</f>
        <v>0.7</v>
      </c>
      <c r="W100" s="176">
        <f>USD!W101</f>
        <v>0.85</v>
      </c>
      <c r="X100" s="176">
        <f>USD!X101</f>
        <v>0.95</v>
      </c>
      <c r="Y100" s="176">
        <f>USD!Y101</f>
        <v>1</v>
      </c>
      <c r="Z100" s="176">
        <f>USD!Z101</f>
        <v>0.9</v>
      </c>
      <c r="AA100" s="176">
        <f>USD!AA101</f>
        <v>0.85</v>
      </c>
    </row>
    <row r="101" spans="15:27" ht="11.25">
      <c r="O101" s="87" t="str">
        <f>USD!O102</f>
        <v>г. Челябинск</v>
      </c>
      <c r="P101" s="88">
        <f>USD!P102</f>
        <v>100</v>
      </c>
      <c r="Q101" s="88">
        <f>USD!Q102</f>
        <v>85</v>
      </c>
      <c r="R101" s="176">
        <f>USD!R102</f>
        <v>0.9</v>
      </c>
      <c r="S101" s="176">
        <f>USD!S102</f>
        <v>0.85</v>
      </c>
      <c r="T101" s="176">
        <f>USD!T102</f>
        <v>0.7</v>
      </c>
      <c r="U101" s="176">
        <f>USD!U102</f>
        <v>0.85</v>
      </c>
      <c r="V101" s="176">
        <f>USD!V102</f>
        <v>0.7</v>
      </c>
      <c r="W101" s="176">
        <f>USD!W102</f>
        <v>0.9</v>
      </c>
      <c r="X101" s="176">
        <f>USD!X102</f>
        <v>0.95</v>
      </c>
      <c r="Y101" s="176">
        <f>USD!Y102</f>
        <v>1</v>
      </c>
      <c r="Z101" s="176">
        <f>USD!Z102</f>
        <v>0.9</v>
      </c>
      <c r="AA101" s="176">
        <f>USD!AA102</f>
        <v>0.85</v>
      </c>
    </row>
    <row r="102" spans="15:27" ht="11.25">
      <c r="O102" s="87" t="str">
        <f>USD!O103</f>
        <v>Чувашская республика (включая г. Чебоксары)</v>
      </c>
      <c r="P102" s="88">
        <f>USD!P103</f>
        <v>100</v>
      </c>
      <c r="Q102" s="88">
        <f>USD!Q103</f>
        <v>85</v>
      </c>
      <c r="R102" s="176">
        <f>USD!R103</f>
        <v>0.85</v>
      </c>
      <c r="S102" s="176">
        <f>USD!S103</f>
        <v>0.85</v>
      </c>
      <c r="T102" s="176">
        <f>USD!T103</f>
        <v>0.7</v>
      </c>
      <c r="U102" s="176">
        <f>USD!U103</f>
        <v>0.85</v>
      </c>
      <c r="V102" s="176">
        <f>USD!V103</f>
        <v>0.7</v>
      </c>
      <c r="W102" s="176">
        <f>USD!W103</f>
        <v>0.85</v>
      </c>
      <c r="X102" s="176">
        <f>USD!X103</f>
        <v>0.95</v>
      </c>
      <c r="Y102" s="176">
        <f>USD!Y103</f>
        <v>1</v>
      </c>
      <c r="Z102" s="176">
        <f>USD!Z103</f>
        <v>0.9</v>
      </c>
      <c r="AA102" s="176">
        <f>USD!AA103</f>
        <v>0.85</v>
      </c>
    </row>
    <row r="103" spans="15:27" ht="11.25">
      <c r="O103" s="87" t="str">
        <f>USD!O104</f>
        <v>Ярославская область (не включая г. Ярославль)</v>
      </c>
      <c r="P103" s="88">
        <f>USD!P104</f>
        <v>100</v>
      </c>
      <c r="Q103" s="88">
        <f>USD!Q104</f>
        <v>85</v>
      </c>
      <c r="R103" s="176">
        <f>USD!R104</f>
        <v>0.85</v>
      </c>
      <c r="S103" s="176">
        <f>USD!S104</f>
        <v>0.85</v>
      </c>
      <c r="T103" s="176">
        <f>USD!T104</f>
        <v>0.7</v>
      </c>
      <c r="U103" s="176">
        <f>USD!U104</f>
        <v>0.85</v>
      </c>
      <c r="V103" s="176">
        <f>USD!V104</f>
        <v>0.7</v>
      </c>
      <c r="W103" s="176">
        <f>USD!W104</f>
        <v>0.85</v>
      </c>
      <c r="X103" s="176">
        <f>USD!X104</f>
        <v>0.95</v>
      </c>
      <c r="Y103" s="176">
        <f>USD!Y104</f>
        <v>1</v>
      </c>
      <c r="Z103" s="176">
        <f>USD!Z104</f>
        <v>0.9</v>
      </c>
      <c r="AA103" s="176">
        <f>USD!AA104</f>
        <v>0.85</v>
      </c>
    </row>
    <row r="104" spans="15:27" ht="11.25">
      <c r="O104" s="87" t="str">
        <f>USD!O105</f>
        <v>г. Ярославль</v>
      </c>
      <c r="P104" s="88">
        <f>USD!P105</f>
        <v>100</v>
      </c>
      <c r="Q104" s="88">
        <f>USD!Q105</f>
        <v>85</v>
      </c>
      <c r="R104" s="176">
        <f>USD!R105</f>
        <v>0.9</v>
      </c>
      <c r="S104" s="176">
        <f>USD!S105</f>
        <v>0.85</v>
      </c>
      <c r="T104" s="176">
        <f>USD!T105</f>
        <v>0.7</v>
      </c>
      <c r="U104" s="176">
        <f>USD!U105</f>
        <v>0.85</v>
      </c>
      <c r="V104" s="176">
        <f>USD!V105</f>
        <v>0.7</v>
      </c>
      <c r="W104" s="176">
        <f>USD!W105</f>
        <v>0.9</v>
      </c>
      <c r="X104" s="176">
        <f>USD!X105</f>
        <v>0.95</v>
      </c>
      <c r="Y104" s="176">
        <f>USD!Y105</f>
        <v>1</v>
      </c>
      <c r="Z104" s="176">
        <f>USD!Z105</f>
        <v>0.9</v>
      </c>
      <c r="AA104" s="176">
        <f>USD!AA105</f>
        <v>0.85</v>
      </c>
    </row>
  </sheetData>
  <sheetProtection password="84F1" sheet="1" objects="1" scenarios="1"/>
  <mergeCells count="11">
    <mergeCell ref="W25:X25"/>
    <mergeCell ref="F4:G4"/>
    <mergeCell ref="B21:H21"/>
    <mergeCell ref="Y25:AA25"/>
    <mergeCell ref="U25:V25"/>
    <mergeCell ref="B2:H2"/>
    <mergeCell ref="H4:J4"/>
    <mergeCell ref="I5:J5"/>
    <mergeCell ref="I6:J6"/>
    <mergeCell ref="D5:H5"/>
    <mergeCell ref="D6:H6"/>
  </mergeCells>
  <dataValidations count="5">
    <dataValidation type="whole" operator="lessThanOrEqual" allowBlank="1" showErrorMessage="1" promptTitle="ошибка " errorTitle="Ошибка ввода" error="Срок кредита не может быть более 25 лет." sqref="B4">
      <formula1>25</formula1>
    </dataValidation>
    <dataValidation type="list" allowBlank="1" showInputMessage="1" showErrorMessage="1" sqref="H4:J4">
      <formula1>$Q$4:$Q$5</formula1>
    </dataValidation>
    <dataValidation type="decimal" operator="lessThanOrEqual" allowBlank="1" showInputMessage="1" showErrorMessage="1" sqref="B21">
      <formula1>1</formula1>
    </dataValidation>
    <dataValidation type="whole" allowBlank="1" showErrorMessage="1" promptTitle="Срок строительства" prompt="Срок строительства не может быть больше 36 месяцев" errorTitle="Срок строительства" error="Срок строительства не может быть менее 1 и более 60 месяцев" sqref="B6:B7">
      <formula1>1</formula1>
      <formula2>60</formula2>
    </dataValidation>
    <dataValidation type="list" allowBlank="1" showInputMessage="1" showErrorMessage="1" sqref="B2:H2">
      <formula1>$O$27:$O$104</formula1>
    </dataValidation>
  </dataValidations>
  <printOptions/>
  <pageMargins left="0.75" right="0.75" top="1" bottom="1" header="0.5" footer="0.5"/>
  <pageSetup orientation="portrait" paperSize="9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2:AA104"/>
  <sheetViews>
    <sheetView workbookViewId="0" topLeftCell="A1">
      <selection activeCell="E7" sqref="E7:H7"/>
    </sheetView>
  </sheetViews>
  <sheetFormatPr defaultColWidth="9.00390625" defaultRowHeight="12.75"/>
  <cols>
    <col min="1" max="1" width="29.00390625" style="78" customWidth="1"/>
    <col min="2" max="2" width="16.75390625" style="79" customWidth="1"/>
    <col min="3" max="3" width="6.75390625" style="79" customWidth="1"/>
    <col min="4" max="4" width="16.75390625" style="79" customWidth="1"/>
    <col min="5" max="5" width="6.75390625" style="79" customWidth="1"/>
    <col min="6" max="6" width="16.75390625" style="79" customWidth="1"/>
    <col min="7" max="7" width="6.75390625" style="79" customWidth="1"/>
    <col min="8" max="8" width="16.75390625" style="79" customWidth="1"/>
    <col min="9" max="9" width="6.75390625" style="79" customWidth="1"/>
    <col min="10" max="10" width="16.75390625" style="79" customWidth="1"/>
    <col min="11" max="11" width="6.875" style="79" customWidth="1"/>
    <col min="12" max="12" width="19.00390625" style="79" bestFit="1" customWidth="1"/>
    <col min="13" max="13" width="9.125" style="79" customWidth="1"/>
    <col min="14" max="14" width="21.125" style="79" hidden="1" customWidth="1"/>
    <col min="15" max="15" width="11.75390625" style="79" hidden="1" customWidth="1"/>
    <col min="16" max="16" width="12.75390625" style="79" hidden="1" customWidth="1"/>
    <col min="17" max="17" width="13.375" style="79" hidden="1" customWidth="1"/>
    <col min="18" max="18" width="12.75390625" style="79" hidden="1" customWidth="1"/>
    <col min="19" max="19" width="11.00390625" style="79" hidden="1" customWidth="1"/>
    <col min="20" max="20" width="12.125" style="79" hidden="1" customWidth="1"/>
    <col min="21" max="21" width="10.875" style="79" hidden="1" customWidth="1"/>
    <col min="22" max="27" width="0" style="79" hidden="1" customWidth="1"/>
    <col min="28" max="16384" width="9.125" style="79" customWidth="1"/>
  </cols>
  <sheetData>
    <row r="1" ht="7.5" customHeight="1" thickBot="1"/>
    <row r="2" spans="1:15" ht="17.25" thickBot="1" thickTop="1">
      <c r="A2" s="31" t="s">
        <v>26</v>
      </c>
      <c r="B2" s="200" t="s">
        <v>38</v>
      </c>
      <c r="C2" s="201"/>
      <c r="D2" s="201"/>
      <c r="E2" s="201"/>
      <c r="F2" s="201"/>
      <c r="G2" s="201"/>
      <c r="H2" s="202"/>
      <c r="J2" s="32">
        <f>O2</f>
        <v>100</v>
      </c>
      <c r="O2" s="126">
        <f>IF(B6&gt;=USD!V114,O6,O5)</f>
        <v>100</v>
      </c>
    </row>
    <row r="3" ht="7.5" customHeight="1" thickBot="1" thickTop="1"/>
    <row r="4" spans="6:17" ht="17.25" thickBot="1" thickTop="1">
      <c r="F4" s="252" t="s">
        <v>62</v>
      </c>
      <c r="G4" s="253"/>
      <c r="H4" s="249" t="s">
        <v>21</v>
      </c>
      <c r="I4" s="250"/>
      <c r="J4" s="251"/>
      <c r="K4" s="144"/>
      <c r="L4" s="144"/>
      <c r="M4" s="145"/>
      <c r="N4" s="145"/>
      <c r="P4" s="79">
        <v>1</v>
      </c>
      <c r="Q4" s="77" t="s">
        <v>22</v>
      </c>
    </row>
    <row r="5" spans="1:19" ht="17.25" thickBot="1" thickTop="1">
      <c r="A5" s="31" t="s">
        <v>0</v>
      </c>
      <c r="B5" s="33">
        <v>10</v>
      </c>
      <c r="C5" s="54" t="s">
        <v>1</v>
      </c>
      <c r="D5" s="239" t="s">
        <v>17</v>
      </c>
      <c r="E5" s="239"/>
      <c r="F5" s="239"/>
      <c r="G5" s="239"/>
      <c r="H5" s="261"/>
      <c r="I5" s="247">
        <f>IF(H4=Q5,Q9,Q8)</f>
        <v>0.112</v>
      </c>
      <c r="J5" s="248"/>
      <c r="K5" s="147"/>
      <c r="L5" s="147"/>
      <c r="N5" s="77"/>
      <c r="O5" s="172">
        <f>VLOOKUP(B2,O27:P104,2,FALSE)</f>
        <v>100</v>
      </c>
      <c r="P5" s="79">
        <v>2</v>
      </c>
      <c r="Q5" s="77" t="s">
        <v>21</v>
      </c>
      <c r="S5" s="77"/>
    </row>
    <row r="6" spans="1:15" ht="17.25" thickBot="1" thickTop="1">
      <c r="A6" s="74" t="s">
        <v>3</v>
      </c>
      <c r="B6" s="33">
        <v>2</v>
      </c>
      <c r="C6" s="159"/>
      <c r="D6" s="262" t="s">
        <v>18</v>
      </c>
      <c r="E6" s="262"/>
      <c r="F6" s="262"/>
      <c r="G6" s="262"/>
      <c r="H6" s="261"/>
      <c r="I6" s="205">
        <f>I5+USD!P153</f>
        <v>0.128</v>
      </c>
      <c r="J6" s="193"/>
      <c r="N6" s="172">
        <f>O2*B6</f>
        <v>200</v>
      </c>
      <c r="O6" s="172">
        <f>VLOOKUP(B2,O27:Q104,3,FALSE)</f>
        <v>85</v>
      </c>
    </row>
    <row r="7" spans="1:15" ht="17.25" thickBot="1" thickTop="1">
      <c r="A7" s="74" t="s">
        <v>15</v>
      </c>
      <c r="B7" s="33">
        <v>12</v>
      </c>
      <c r="C7" s="168" t="s">
        <v>34</v>
      </c>
      <c r="D7" s="146"/>
      <c r="E7" s="244" t="s">
        <v>14</v>
      </c>
      <c r="F7" s="244"/>
      <c r="G7" s="244"/>
      <c r="H7" s="265"/>
      <c r="I7" s="211">
        <v>28.2517</v>
      </c>
      <c r="J7" s="259"/>
      <c r="O7" s="79">
        <f>VLOOKUP(B2,O27:X104,10,FALSE)</f>
        <v>0.95</v>
      </c>
    </row>
    <row r="8" spans="2:17" ht="27" customHeight="1" thickTop="1">
      <c r="B8" s="27" t="s">
        <v>4</v>
      </c>
      <c r="D8" s="27" t="s">
        <v>5</v>
      </c>
      <c r="F8" s="27" t="s">
        <v>6</v>
      </c>
      <c r="H8" s="27" t="s">
        <v>8</v>
      </c>
      <c r="J8" s="27" t="s">
        <v>7</v>
      </c>
      <c r="L8" s="124"/>
      <c r="Q8" s="79">
        <f>IF(B5&lt;=USD!O148,IF(J21&lt;USD!T146,USD!T148,IF(J21&lt;USD!U146,USD!U148,IF(J21&lt;USD!V146,USD!V148,USD!W148))),IF(B5&lt;=USD!O152,IF(J21&lt;USD!T146,USD!T152,IF(J21&lt;USD!U146,USD!U152,IF(J21&lt;USD!V146,USD!V152,USD!W152))),10))</f>
        <v>0.112</v>
      </c>
    </row>
    <row r="9" spans="2:17" ht="7.5" customHeight="1" thickBot="1">
      <c r="B9" s="151"/>
      <c r="D9" s="151"/>
      <c r="F9" s="151"/>
      <c r="J9" s="151"/>
      <c r="Q9" s="79">
        <f>IF(B5&lt;=USD!O148,IF(B21&lt;USD!T146,USD!T148,IF(B21&lt;USD!U146,USD!U148,IF(B21&lt;USD!V146,USD!V148,USD!W148))),IF(B5&lt;=USD!O152,IF(B21&lt;USD!T146,USD!T152,IF(B21&lt;USD!U146,USD!U152,IF(B21&lt;USD!V146,USD!V152,USD!W152))),10))</f>
        <v>0.112</v>
      </c>
    </row>
    <row r="10" spans="1:12" ht="27" customHeight="1" thickBot="1" thickTop="1">
      <c r="A10" s="31" t="s">
        <v>9</v>
      </c>
      <c r="B10" s="136">
        <v>778947</v>
      </c>
      <c r="C10" s="126"/>
      <c r="D10" s="137">
        <f>IF(H4=Q5,D12/O7,0)</f>
        <v>778947.3684210527</v>
      </c>
      <c r="E10" s="126"/>
      <c r="F10" s="137">
        <f>IF(H4=Q5,F12/O7,0)</f>
        <v>778956.8421052631</v>
      </c>
      <c r="G10" s="126"/>
      <c r="H10" s="170">
        <f>IF(H4=Q5,H23/(1-O7),0)</f>
        <v>778939.9999999993</v>
      </c>
      <c r="I10" s="126"/>
      <c r="J10" s="137">
        <f>IF(H4=Q5,0,J12/O7)</f>
        <v>0</v>
      </c>
      <c r="K10" s="126"/>
      <c r="L10" s="128"/>
    </row>
    <row r="11" spans="2:12" ht="7.5" customHeight="1" thickBot="1" thickTop="1">
      <c r="B11" s="126"/>
      <c r="C11" s="126"/>
      <c r="D11" s="126"/>
      <c r="E11" s="126"/>
      <c r="F11" s="126"/>
      <c r="G11" s="126"/>
      <c r="H11" s="126"/>
      <c r="I11" s="126"/>
      <c r="J11" s="126"/>
      <c r="K11" s="126"/>
      <c r="L11" s="152"/>
    </row>
    <row r="12" spans="1:21" s="83" customFormat="1" ht="27" customHeight="1" thickBot="1" thickTop="1">
      <c r="A12" s="31" t="s">
        <v>10</v>
      </c>
      <c r="B12" s="138">
        <f>IF(H4=Q5,B10*O7,0)</f>
        <v>739999.65</v>
      </c>
      <c r="C12" s="153"/>
      <c r="D12" s="139">
        <v>740000</v>
      </c>
      <c r="E12" s="127"/>
      <c r="F12" s="138">
        <f>IF(H4=Q5,ROUND(F14/(($I$6/12)/(1-(1+($I$6/12))^-($B$5*12))),0),0)</f>
        <v>740009</v>
      </c>
      <c r="G12" s="127"/>
      <c r="H12" s="171">
        <f>IF(H4=Q5,H10-H23,0)</f>
        <v>739992.9999999993</v>
      </c>
      <c r="I12" s="127"/>
      <c r="J12" s="138">
        <f>IF(H4=Q5,0,ROUND(J14/(($I$6/12)/(1-(1+($I$6/12))^-($B$5*12))),0))</f>
        <v>0</v>
      </c>
      <c r="K12" s="127"/>
      <c r="L12" s="154"/>
      <c r="N12" s="81">
        <f>(B14+$N$6*$I$7)/USD!$Q$123</f>
        <v>25557.446153846155</v>
      </c>
      <c r="O12" s="81">
        <f>B14/USD!$P$123</f>
        <v>24360</v>
      </c>
      <c r="P12" s="81">
        <f>(D14+$N$6*$I$7)/USD!$Q$123</f>
        <v>25557.446153846155</v>
      </c>
      <c r="Q12" s="81">
        <f>D14/USD!$P$123</f>
        <v>24360</v>
      </c>
      <c r="R12" s="81">
        <f>(F14+$N$6*$I$7)/USD!$Q$123</f>
        <v>25557.446153846155</v>
      </c>
      <c r="S12" s="81">
        <f>F14/USD!$P$123</f>
        <v>24360</v>
      </c>
      <c r="T12" s="81">
        <f>(H14+$N$6*$I$7)/USD!$Q$123</f>
        <v>25557.446153846155</v>
      </c>
      <c r="U12" s="81">
        <f>H14/USD!$P$123</f>
        <v>24360</v>
      </c>
    </row>
    <row r="13" spans="1:21" ht="7.5" customHeight="1" thickBot="1" thickTop="1">
      <c r="A13" s="82"/>
      <c r="B13" s="127"/>
      <c r="C13" s="127"/>
      <c r="D13" s="127"/>
      <c r="E13" s="126"/>
      <c r="F13" s="127"/>
      <c r="G13" s="126"/>
      <c r="H13" s="127"/>
      <c r="I13" s="126"/>
      <c r="J13" s="127"/>
      <c r="K13" s="126"/>
      <c r="L13" s="155"/>
      <c r="N13" s="80"/>
      <c r="O13" s="81">
        <f>USD!$O$123+0.01</f>
        <v>30000.01</v>
      </c>
      <c r="P13" s="80"/>
      <c r="Q13" s="81">
        <f>USD!$O$123+0.01</f>
        <v>30000.01</v>
      </c>
      <c r="R13" s="80"/>
      <c r="S13" s="81">
        <f>USD!$O$123+0.01</f>
        <v>30000.01</v>
      </c>
      <c r="T13" s="80"/>
      <c r="U13" s="81">
        <f>USD!$O$123+0.01</f>
        <v>30000.01</v>
      </c>
    </row>
    <row r="14" spans="1:21" s="85" customFormat="1" ht="27" customHeight="1" thickBot="1" thickTop="1">
      <c r="A14" s="37" t="s">
        <v>11</v>
      </c>
      <c r="B14" s="140">
        <f>ROUND(B12*(($I$6/12)/(1-(1+($I$6/12))^-($B$5*12))),0)</f>
        <v>10962</v>
      </c>
      <c r="C14" s="155"/>
      <c r="D14" s="140">
        <f>IF(H4=Q5,ROUND(D12*(($I$6/12)/(1-(1+($I$6/12))^-($B$5*12))),0),0)</f>
        <v>10962</v>
      </c>
      <c r="E14" s="152"/>
      <c r="F14" s="141">
        <v>10962</v>
      </c>
      <c r="G14" s="152"/>
      <c r="H14" s="140">
        <f>IF(H4=Q5,ROUND(H12*(($I$6/12)/(1-(1+($I$6/12))^-($B$5*12))),0),0)</f>
        <v>10962</v>
      </c>
      <c r="I14" s="152"/>
      <c r="J14" s="63">
        <f>IF(J18=0,0,IF(J18&lt;=USD!O123,MIN(J18*USD!Q123-N6*I7,J18*USD!P123),IF(J18&lt;=USD!O124,MIN(J18*USD!Q124-N6*I7,J18*USD!P124),IF(J18&lt;=USD!O125,MIN(J18*USD!Q125-N6*I7,J18*USD!P125),IF(J18&lt;=USD!O126,MIN(J18*USD!Q126-N6*I7,J18*USD!P126),IF(J18&lt;=USD!O127,MIN(J18*USD!Q127-N6*I7,J18*USD!P127),IF(J18&lt;=USD!O128,MIN(J18*USD!Q128-N6*I7,J18*USD!P128),MIN(J18*USD!Q129-N6*I7,J18*USD!P129))))))))</f>
        <v>0</v>
      </c>
      <c r="K14" s="152"/>
      <c r="L14" s="128"/>
      <c r="N14" s="81">
        <f>(B14+$N$6*$I$7)/USD!$Q$124</f>
        <v>23731.914285714287</v>
      </c>
      <c r="O14" s="81">
        <f>B14/USD!$P$124</f>
        <v>21924</v>
      </c>
      <c r="P14" s="81">
        <f>(D14+$N$6*$I$7)/USD!$Q$124</f>
        <v>23731.914285714287</v>
      </c>
      <c r="Q14" s="81">
        <f>D14/USD!$P$124</f>
        <v>21924</v>
      </c>
      <c r="R14" s="81">
        <f>(F14+$N$6*$I$7)/USD!$Q$124</f>
        <v>23731.914285714287</v>
      </c>
      <c r="S14" s="81">
        <f>F14/USD!$P$124</f>
        <v>21924</v>
      </c>
      <c r="T14" s="81">
        <f>(H14+$N$6*$I$7)/USD!$Q$124</f>
        <v>23731.914285714287</v>
      </c>
      <c r="U14" s="81">
        <f>H14/USD!$P$124</f>
        <v>21924</v>
      </c>
    </row>
    <row r="15" spans="2:21" ht="7.5" customHeight="1" thickTop="1">
      <c r="B15" s="126"/>
      <c r="C15" s="126"/>
      <c r="D15" s="126"/>
      <c r="E15" s="126"/>
      <c r="F15" s="126"/>
      <c r="G15" s="126"/>
      <c r="H15" s="126"/>
      <c r="I15" s="126"/>
      <c r="J15" s="126"/>
      <c r="K15" s="126"/>
      <c r="L15" s="152"/>
      <c r="N15" s="81"/>
      <c r="O15" s="81">
        <f>USD!$O$124+0.01</f>
        <v>60000.01</v>
      </c>
      <c r="P15" s="81"/>
      <c r="Q15" s="81">
        <f>USD!$O$124+0.01</f>
        <v>60000.01</v>
      </c>
      <c r="R15" s="81"/>
      <c r="S15" s="81">
        <f>USD!$O$124+0.01</f>
        <v>60000.01</v>
      </c>
      <c r="T15" s="81"/>
      <c r="U15" s="81">
        <f>USD!$O$124+0.01</f>
        <v>60000.01</v>
      </c>
    </row>
    <row r="16" spans="1:21" ht="27" customHeight="1">
      <c r="A16" s="38" t="s">
        <v>66</v>
      </c>
      <c r="B16" s="140">
        <f>B25*(($I$5/12)/(1-(1+($I$5/12))^-($B$5*12-$B$7)))</f>
        <v>10380.274513053506</v>
      </c>
      <c r="C16" s="155"/>
      <c r="D16" s="140">
        <f>IF(H4=Q5,D25*(($I$5/12)/(1-(1+($I$5/12))^-($B$5*12-$B$7))),0)</f>
        <v>10380.280309396376</v>
      </c>
      <c r="E16" s="126"/>
      <c r="F16" s="140">
        <f>IF(H4=Q5,F25*(($I$5/12)/(1-(1+($I$5/12))^-($B$5*12-$B$7))),0)</f>
        <v>10380.429358213032</v>
      </c>
      <c r="G16" s="152"/>
      <c r="H16" s="140">
        <f>H25*(($I$5/12)/(1-(1+($I$5/12))^-($B$5*12-$B$7)))</f>
        <v>10380.164382538964</v>
      </c>
      <c r="I16" s="152"/>
      <c r="J16" s="140">
        <f>J25*(($I$5/12)/(1-(1+($I$5/12))^-($B$5*12-$B$7)))</f>
        <v>0</v>
      </c>
      <c r="K16" s="126"/>
      <c r="L16" s="152"/>
      <c r="N16" s="81">
        <f>(B14+$N$6*$I$7)/USD!$Q$125</f>
        <v>22149.786666666667</v>
      </c>
      <c r="O16" s="81">
        <f>B14/USD!$P$125</f>
        <v>19930.90909090909</v>
      </c>
      <c r="P16" s="81">
        <f>(D14+$N$6*$I$7)/USD!$Q$125</f>
        <v>22149.786666666667</v>
      </c>
      <c r="Q16" s="81">
        <f>D14/USD!$P$125</f>
        <v>19930.90909090909</v>
      </c>
      <c r="R16" s="81">
        <f>(F14+$N$6*$I$7)/USD!$Q$125</f>
        <v>22149.786666666667</v>
      </c>
      <c r="S16" s="81">
        <f>F14/USD!$P$125</f>
        <v>19930.90909090909</v>
      </c>
      <c r="T16" s="81">
        <f>(H14+$N$6*$I$7)/USD!$Q$125</f>
        <v>22149.786666666667</v>
      </c>
      <c r="U16" s="81">
        <f>H14/USD!$P$125</f>
        <v>19930.90909090909</v>
      </c>
    </row>
    <row r="17" spans="2:21" ht="7.5" customHeight="1" thickBot="1">
      <c r="B17" s="126"/>
      <c r="C17" s="126"/>
      <c r="D17" s="126"/>
      <c r="E17" s="126"/>
      <c r="F17" s="126"/>
      <c r="G17" s="126"/>
      <c r="H17" s="126"/>
      <c r="I17" s="126"/>
      <c r="J17" s="126"/>
      <c r="K17" s="126"/>
      <c r="L17" s="152"/>
      <c r="N17" s="81"/>
      <c r="O17" s="81">
        <f>USD!$O$125+0.01</f>
        <v>90000.01</v>
      </c>
      <c r="P17" s="81"/>
      <c r="Q17" s="81">
        <f>USD!$O$125+0.01</f>
        <v>90000.01</v>
      </c>
      <c r="R17" s="81"/>
      <c r="S17" s="81">
        <f>USD!$O$125+0.01</f>
        <v>90000.01</v>
      </c>
      <c r="T17" s="81"/>
      <c r="U17" s="81">
        <f>USD!$O$125+0.01</f>
        <v>90000.01</v>
      </c>
    </row>
    <row r="18" spans="1:21" ht="27" customHeight="1" thickBot="1" thickTop="1">
      <c r="A18" s="38" t="s">
        <v>12</v>
      </c>
      <c r="B18" s="65">
        <f>IF(B10=0,0,IF(MAX(N12:O12)&lt;=USD!$O$123,MAX(N12:O12),IF(MAX(N14:O14)&lt;=USD!$O$124,MAX(N13:O14),IF(MAX(N16:O16)&lt;=USD!$O$125,MAX(N15:O16),IF(MAX(N18:O18)&lt;=USD!$O$126,MAX(N17:O18),IF(MAX(N20:O20)&lt;=USD!$O$127,MAX(N19:O20),IF(MAX(N22:O22)&lt;=USD!$O$128,MAX(N21:O22),MAX(N23:O24))))))))</f>
        <v>25557.446153846155</v>
      </c>
      <c r="C18" s="157"/>
      <c r="D18" s="65">
        <f>IF(D10=0,0,IF(MAX(P12:Q12)&lt;=USD!$O$123,MAX(P12:Q12),IF(MAX(P14:Q14)&lt;=USD!$O$124,MAX(P13:Q14),IF(MAX(P16:Q16)&lt;=USD!$O$125,MAX(P15:Q16),IF(MAX(P18:Q18)&lt;=USD!$O$126,MAX(P17:Q18),IF(MAX(P20:Q20)&lt;=USD!$O$127,MAX(P19:Q20),IF(MAX(P22:Q22)&lt;=USD!$O$128,MAX(P21:Q22),MAX(P23:Q24))))))))</f>
        <v>25557.446153846155</v>
      </c>
      <c r="E18" s="126"/>
      <c r="F18" s="65">
        <f>IF(F10=0,0,IF(MAX(R12:S12)&lt;=USD!$O$123,MAX(R12:S12),IF(MAX(R14:S14)&lt;=USD!$O$124,MAX(R13:S14),IF(MAX(R16:S16)&lt;=USD!$O$125,MAX(R15:S16),IF(MAX(R18:S18)&lt;=USD!$O$126,MAX(R17:S18),IF(MAX(R20:S20)&lt;=USD!$O$127,MAX(R19:S20),IF(MAX(R22:S22)&lt;=USD!$O$128,MAX(R21:S22),MAX(R23:S24))))))))</f>
        <v>25557.446153846155</v>
      </c>
      <c r="G18" s="126"/>
      <c r="H18" s="65">
        <f>IF(H10=0,0,IF(MAX(T12:U12)&lt;=USD!$O$123,MAX(T12:U12),IF(MAX(T14:U14)&lt;=USD!$O$124,MAX(T13:U14),IF(MAX(T16:U16)&lt;=USD!$O$125,MAX(T15:U16),IF(MAX(T18:U18)&lt;=USD!$O$126,MAX(T17:U18),IF(MAX(T20:U20)&lt;=USD!$O$127,MAX(T19:U20),IF(MAX(T22:U22)&lt;=USD!$O$128,MAX(T21:U22),MAX(T23:U24))))))))</f>
        <v>25557.446153846155</v>
      </c>
      <c r="I18" s="126"/>
      <c r="J18" s="163">
        <f>IF(H4=Q5,0,J19+J20)</f>
        <v>0</v>
      </c>
      <c r="K18" s="126"/>
      <c r="L18" s="173"/>
      <c r="N18" s="81">
        <f>(B14+$N$6*$I$7)/USD!$Q$126</f>
        <v>20765.425</v>
      </c>
      <c r="O18" s="81">
        <f>B14/USD!$P$126</f>
        <v>18270</v>
      </c>
      <c r="P18" s="81">
        <f>(D14+$N$6*$I$7)/USD!$Q$126</f>
        <v>20765.425</v>
      </c>
      <c r="Q18" s="81">
        <f>D14/USD!$P$126</f>
        <v>18270</v>
      </c>
      <c r="R18" s="81">
        <f>(F14+$N$6*$I$7)/USD!$Q$126</f>
        <v>20765.425</v>
      </c>
      <c r="S18" s="81">
        <f>F14/USD!$P$126</f>
        <v>18270</v>
      </c>
      <c r="T18" s="81">
        <f>(H14+$N$6*$I$7)/USD!$Q$126</f>
        <v>20765.425</v>
      </c>
      <c r="U18" s="81">
        <f>H14/USD!$P$126</f>
        <v>18270</v>
      </c>
    </row>
    <row r="19" spans="1:21" ht="27" customHeight="1" thickBot="1" thickTop="1">
      <c r="A19" s="38" t="s">
        <v>59</v>
      </c>
      <c r="B19" s="128"/>
      <c r="C19" s="157"/>
      <c r="D19" s="128"/>
      <c r="E19" s="152"/>
      <c r="F19" s="128"/>
      <c r="G19" s="152"/>
      <c r="H19" s="128"/>
      <c r="I19" s="152"/>
      <c r="J19" s="142">
        <v>25557</v>
      </c>
      <c r="K19" s="152"/>
      <c r="L19" s="128"/>
      <c r="O19" s="81">
        <f>USD!$O$126+0.01</f>
        <v>180000.01</v>
      </c>
      <c r="Q19" s="81">
        <f>USD!$O$126+0.01</f>
        <v>180000.01</v>
      </c>
      <c r="S19" s="81">
        <f>USD!$O$126+0.01</f>
        <v>180000.01</v>
      </c>
      <c r="U19" s="81">
        <f>USD!$O$126+0.01</f>
        <v>180000.01</v>
      </c>
    </row>
    <row r="20" spans="1:21" ht="27" customHeight="1" thickBot="1" thickTop="1">
      <c r="A20" s="38" t="s">
        <v>60</v>
      </c>
      <c r="B20" s="128"/>
      <c r="C20" s="157"/>
      <c r="D20" s="128"/>
      <c r="E20" s="152"/>
      <c r="F20" s="128"/>
      <c r="G20" s="152"/>
      <c r="H20" s="128"/>
      <c r="I20" s="152"/>
      <c r="J20" s="142">
        <v>0</v>
      </c>
      <c r="K20" s="152"/>
      <c r="L20" s="128"/>
      <c r="N20" s="81">
        <f>(B14+$N$6*$I$7)/USD!$Q$127</f>
        <v>19543.929411764708</v>
      </c>
      <c r="O20" s="81">
        <f>B14/USD!$P$127</f>
        <v>16864.615384615383</v>
      </c>
      <c r="P20" s="81">
        <f>(D14+$N$6*$I$7)/USD!$Q$127</f>
        <v>19543.929411764708</v>
      </c>
      <c r="Q20" s="81">
        <f>D14/USD!$P$127</f>
        <v>16864.615384615383</v>
      </c>
      <c r="R20" s="81">
        <f>(F14+$N$6*$I$7)/USD!$Q$127</f>
        <v>19543.929411764708</v>
      </c>
      <c r="S20" s="81">
        <f>F14/USD!$P$127</f>
        <v>16864.615384615383</v>
      </c>
      <c r="T20" s="81">
        <f>(H14+$N$6*$I$7)/USD!$Q$127</f>
        <v>19543.929411764708</v>
      </c>
      <c r="U20" s="81">
        <f>H14/USD!$P$127</f>
        <v>16864.615384615383</v>
      </c>
    </row>
    <row r="21" spans="1:21" ht="27" customHeight="1" thickBot="1" thickTop="1">
      <c r="A21" s="38" t="s">
        <v>61</v>
      </c>
      <c r="B21" s="256">
        <v>1</v>
      </c>
      <c r="C21" s="257"/>
      <c r="D21" s="257"/>
      <c r="E21" s="257"/>
      <c r="F21" s="257"/>
      <c r="G21" s="257"/>
      <c r="H21" s="258"/>
      <c r="I21" s="152"/>
      <c r="J21" s="162">
        <f>J19/(J19+J20)</f>
        <v>1</v>
      </c>
      <c r="K21" s="152"/>
      <c r="L21" s="128"/>
      <c r="O21" s="81">
        <f>USD!$O$127+0.01</f>
        <v>270000.01</v>
      </c>
      <c r="Q21" s="81">
        <f>USD!$O$127+0.01</f>
        <v>270000.01</v>
      </c>
      <c r="S21" s="81">
        <f>USD!$O$127+0.01</f>
        <v>270000.01</v>
      </c>
      <c r="U21" s="81">
        <f>USD!$O$127+0.01</f>
        <v>270000.01</v>
      </c>
    </row>
    <row r="22" spans="3:21" ht="7.5" customHeight="1" thickBot="1">
      <c r="C22" s="126"/>
      <c r="D22" s="126"/>
      <c r="E22" s="126"/>
      <c r="F22" s="126"/>
      <c r="G22" s="126"/>
      <c r="H22" s="126"/>
      <c r="I22" s="126"/>
      <c r="J22" s="126"/>
      <c r="K22" s="126"/>
      <c r="L22" s="152"/>
      <c r="N22" s="81">
        <f>(B14+$N$6*$I$7)/USD!$Q$128</f>
        <v>18458.155555555557</v>
      </c>
      <c r="O22" s="81">
        <f>B14/USD!$P$128</f>
        <v>15660.000000000002</v>
      </c>
      <c r="P22" s="81">
        <f>(D14+$N$6*$I$7)/USD!$Q$128</f>
        <v>18458.155555555557</v>
      </c>
      <c r="Q22" s="81">
        <f>D14/USD!$P$128</f>
        <v>15660.000000000002</v>
      </c>
      <c r="R22" s="81">
        <f>(F14+$N$6*$I$7)/USD!$Q$128</f>
        <v>18458.155555555557</v>
      </c>
      <c r="S22" s="81">
        <f>F14/USD!$P$128</f>
        <v>15660.000000000002</v>
      </c>
      <c r="T22" s="81">
        <f>(H14+$N$6*$I$7)/USD!$Q$128</f>
        <v>18458.155555555557</v>
      </c>
      <c r="U22" s="81">
        <f>H14/USD!$P$128</f>
        <v>15660.000000000002</v>
      </c>
    </row>
    <row r="23" spans="1:21" ht="27" customHeight="1" thickBot="1" thickTop="1">
      <c r="A23" s="31" t="s">
        <v>13</v>
      </c>
      <c r="B23" s="143">
        <f>IF(H4=Q5,B10-B12,0)</f>
        <v>38947.34999999998</v>
      </c>
      <c r="C23" s="126"/>
      <c r="D23" s="143">
        <f>IF(H4=Q5,D10-D12,0)</f>
        <v>38947.3684210527</v>
      </c>
      <c r="E23" s="126"/>
      <c r="F23" s="143">
        <f>IF(H4=Q5,F10-F12,0)</f>
        <v>38947.842105263146</v>
      </c>
      <c r="G23" s="126"/>
      <c r="H23" s="164">
        <v>38947</v>
      </c>
      <c r="I23" s="126"/>
      <c r="J23" s="143">
        <f>IF(H4=Q5,0,J10-J12)</f>
        <v>0</v>
      </c>
      <c r="K23" s="126"/>
      <c r="L23" s="154"/>
      <c r="O23" s="81">
        <f>USD!$O$128+0.01</f>
        <v>360000.01</v>
      </c>
      <c r="Q23" s="81">
        <f>USD!$O$128+0.01</f>
        <v>360000.01</v>
      </c>
      <c r="S23" s="81">
        <f>USD!$O$128+0.01</f>
        <v>360000.01</v>
      </c>
      <c r="U23" s="81">
        <f>USD!$O$128+0.01</f>
        <v>360000.01</v>
      </c>
    </row>
    <row r="24" spans="1:21" ht="7.5" customHeight="1" thickTop="1">
      <c r="A24" s="156"/>
      <c r="B24" s="128"/>
      <c r="C24" s="152"/>
      <c r="D24" s="128"/>
      <c r="E24" s="152"/>
      <c r="F24" s="128"/>
      <c r="G24" s="152"/>
      <c r="H24" s="167"/>
      <c r="I24" s="152"/>
      <c r="J24" s="128"/>
      <c r="N24" s="81">
        <f>(B14+$N$6*$I$7)/USD!$Q$129</f>
        <v>17486.673684210527</v>
      </c>
      <c r="O24" s="81">
        <f>B14/USD!$P$129</f>
        <v>14616</v>
      </c>
      <c r="P24" s="81">
        <f>(D14+$N$6*$I$7)/USD!$Q$129</f>
        <v>17486.673684210527</v>
      </c>
      <c r="Q24" s="81">
        <f>D14/USD!$P$129</f>
        <v>14616</v>
      </c>
      <c r="R24" s="81">
        <f>(F14+$N$6*$I$7)/USD!$Q$129</f>
        <v>17486.673684210527</v>
      </c>
      <c r="S24" s="81">
        <f>F14/USD!$P$129</f>
        <v>14616</v>
      </c>
      <c r="T24" s="81">
        <f>(H14+$N$6*$I$7)/USD!$Q$129</f>
        <v>17486.673684210527</v>
      </c>
      <c r="U24" s="81">
        <f>H14/USD!$P$129</f>
        <v>14616</v>
      </c>
    </row>
    <row r="25" spans="1:27" ht="27" customHeight="1">
      <c r="A25" s="38" t="s">
        <v>65</v>
      </c>
      <c r="B25" s="90">
        <f>(B12/POWER(1+$I$6/12,-($B$7-1)))-(B14*(POWER(1+$I$6/12,$B$7-1)-1)/($I$6/12))</f>
        <v>704385.1322470814</v>
      </c>
      <c r="D25" s="90">
        <f>IF(H4=Q5,(D12/POWER(1+$I$6/12,-($B$7-1)))-(D14*(POWER(1+$I$6/12,$B$7-1)-1)/($I$6/12)),0)</f>
        <v>704385.5255755751</v>
      </c>
      <c r="F25" s="90">
        <f>IF(H4=Q5,(F12/POWER(1+$I$6/12,-($B$7-1)))-(F14*(POWER(1+$I$6/12,$B$7-1)-1)/($I$6/12)),0)</f>
        <v>704395.6397368432</v>
      </c>
      <c r="H25" s="90">
        <f>(H12/POWER(1+$I$6/12,-($B$7-1)))-(H14*(POWER(1+$I$6/12,$B$7-1)-1)/($I$6/12))</f>
        <v>704377.6590056991</v>
      </c>
      <c r="J25" s="90">
        <f>(J12/POWER(1+$I$6/12,-($B$7-1)))-(J14*(POWER(1+$I$6/12,$B$7-1)-1)/($I$6/12))</f>
        <v>0</v>
      </c>
      <c r="O25" s="24"/>
      <c r="P25" s="25"/>
      <c r="Q25" s="30"/>
      <c r="R25" s="175" t="str">
        <f>USD!R26</f>
        <v>Готовое</v>
      </c>
      <c r="S25" s="175" t="str">
        <f>USD!S26</f>
        <v>Стройка</v>
      </c>
      <c r="T25" s="175" t="str">
        <f>USD!T26</f>
        <v>Нецелевой</v>
      </c>
      <c r="U25" s="199" t="str">
        <f>USD!U26</f>
        <v>Рефинансирование</v>
      </c>
      <c r="V25" s="199"/>
      <c r="W25" s="199" t="str">
        <f>USD!W26</f>
        <v>Сотрудники</v>
      </c>
      <c r="X25" s="199"/>
      <c r="Y25" s="199" t="str">
        <f>USD!Y26</f>
        <v>УЖУ</v>
      </c>
      <c r="Z25" s="199"/>
      <c r="AA25" s="199"/>
    </row>
    <row r="26" spans="15:27" ht="7.5" customHeight="1">
      <c r="O26" s="24"/>
      <c r="P26" s="25"/>
      <c r="Q26" s="30"/>
      <c r="R26" s="175"/>
      <c r="S26" s="175"/>
      <c r="T26" s="175"/>
      <c r="U26" s="175" t="str">
        <f>USD!U27</f>
        <v>Готовое</v>
      </c>
      <c r="V26" s="175" t="str">
        <f>USD!V27</f>
        <v>Нецелевой</v>
      </c>
      <c r="W26" s="175" t="str">
        <f>USD!W27</f>
        <v>Готовое</v>
      </c>
      <c r="X26" s="175" t="str">
        <f>USD!X27</f>
        <v>Стройка</v>
      </c>
      <c r="Y26" s="175" t="str">
        <f>USD!Y27</f>
        <v>Собств.</v>
      </c>
      <c r="Z26" s="175" t="str">
        <f>USD!Z27</f>
        <v>Собств.+Покуп.</v>
      </c>
      <c r="AA26" s="175" t="str">
        <f>USD!AA27</f>
        <v>Не продается</v>
      </c>
    </row>
    <row r="27" spans="1:27" ht="12">
      <c r="A27" s="78" t="s">
        <v>23</v>
      </c>
      <c r="O27" s="87" t="str">
        <f>USD!O28</f>
        <v>Остальные регионы</v>
      </c>
      <c r="P27" s="88">
        <f>USD!P28</f>
        <v>100</v>
      </c>
      <c r="Q27" s="88">
        <f>USD!Q28</f>
        <v>85</v>
      </c>
      <c r="R27" s="176">
        <f>USD!R28</f>
        <v>0.85</v>
      </c>
      <c r="S27" s="176">
        <f>USD!S28</f>
        <v>0.85</v>
      </c>
      <c r="T27" s="176">
        <f>USD!T28</f>
        <v>0.7</v>
      </c>
      <c r="U27" s="176">
        <f>USD!U28</f>
        <v>0.85</v>
      </c>
      <c r="V27" s="176">
        <f>USD!V28</f>
        <v>0.7</v>
      </c>
      <c r="W27" s="176">
        <f>USD!W28</f>
        <v>0.85</v>
      </c>
      <c r="X27" s="176">
        <f>USD!X28</f>
        <v>0.95</v>
      </c>
      <c r="Y27" s="176">
        <f>USD!Y28</f>
        <v>1</v>
      </c>
      <c r="Z27" s="176">
        <f>USD!Z28</f>
        <v>0.9</v>
      </c>
      <c r="AA27" s="176">
        <f>USD!AA28</f>
        <v>0.85</v>
      </c>
    </row>
    <row r="28" spans="1:27" ht="12">
      <c r="A28" s="76" t="s">
        <v>24</v>
      </c>
      <c r="D28" s="126"/>
      <c r="F28" s="158"/>
      <c r="J28" s="126"/>
      <c r="O28" s="87" t="str">
        <f>USD!O29</f>
        <v>Архангельская область (не включая г. Архангельск)</v>
      </c>
      <c r="P28" s="88">
        <f>USD!P29</f>
        <v>100</v>
      </c>
      <c r="Q28" s="88">
        <f>USD!Q29</f>
        <v>85</v>
      </c>
      <c r="R28" s="176">
        <f>USD!R29</f>
        <v>0.85</v>
      </c>
      <c r="S28" s="176">
        <f>USD!S29</f>
        <v>0.85</v>
      </c>
      <c r="T28" s="176">
        <f>USD!T29</f>
        <v>0.7</v>
      </c>
      <c r="U28" s="176">
        <f>USD!U29</f>
        <v>0.85</v>
      </c>
      <c r="V28" s="176">
        <f>USD!V29</f>
        <v>0.7</v>
      </c>
      <c r="W28" s="176">
        <f>USD!W29</f>
        <v>0.85</v>
      </c>
      <c r="X28" s="176">
        <f>USD!X29</f>
        <v>0.95</v>
      </c>
      <c r="Y28" s="176">
        <f>USD!Y29</f>
        <v>1</v>
      </c>
      <c r="Z28" s="176">
        <f>USD!Z29</f>
        <v>0.9</v>
      </c>
      <c r="AA28" s="176">
        <f>USD!AA29</f>
        <v>0.85</v>
      </c>
    </row>
    <row r="29" spans="1:27" ht="12">
      <c r="A29" s="76" t="s">
        <v>25</v>
      </c>
      <c r="O29" s="87" t="str">
        <f>USD!O30</f>
        <v>г. Архангельск</v>
      </c>
      <c r="P29" s="88">
        <f>USD!P30</f>
        <v>100</v>
      </c>
      <c r="Q29" s="88">
        <f>USD!Q30</f>
        <v>85</v>
      </c>
      <c r="R29" s="176">
        <f>USD!R30</f>
        <v>0.9</v>
      </c>
      <c r="S29" s="176">
        <f>USD!S30</f>
        <v>0.85</v>
      </c>
      <c r="T29" s="176">
        <f>USD!T30</f>
        <v>0.7</v>
      </c>
      <c r="U29" s="176">
        <f>USD!U30</f>
        <v>0.85</v>
      </c>
      <c r="V29" s="176">
        <f>USD!V30</f>
        <v>0.7</v>
      </c>
      <c r="W29" s="176">
        <f>USD!W30</f>
        <v>0.9</v>
      </c>
      <c r="X29" s="176">
        <f>USD!X30</f>
        <v>0.95</v>
      </c>
      <c r="Y29" s="176">
        <f>USD!Y30</f>
        <v>1</v>
      </c>
      <c r="Z29" s="176">
        <f>USD!Z30</f>
        <v>0.9</v>
      </c>
      <c r="AA29" s="176">
        <f>USD!AA30</f>
        <v>0.85</v>
      </c>
    </row>
    <row r="30" spans="10:27" ht="12">
      <c r="J30" s="89"/>
      <c r="O30" s="87" t="str">
        <f>USD!O31</f>
        <v>Астраханская область (не включая г. Астрахань)</v>
      </c>
      <c r="P30" s="88">
        <f>USD!P31</f>
        <v>100</v>
      </c>
      <c r="Q30" s="88">
        <f>USD!Q31</f>
        <v>85</v>
      </c>
      <c r="R30" s="176">
        <f>USD!R31</f>
        <v>0.85</v>
      </c>
      <c r="S30" s="176">
        <f>USD!S31</f>
        <v>0.85</v>
      </c>
      <c r="T30" s="176">
        <f>USD!T31</f>
        <v>0.7</v>
      </c>
      <c r="U30" s="176">
        <f>USD!U31</f>
        <v>0.85</v>
      </c>
      <c r="V30" s="176">
        <f>USD!V31</f>
        <v>0.7</v>
      </c>
      <c r="W30" s="176">
        <f>USD!W31</f>
        <v>0.85</v>
      </c>
      <c r="X30" s="176">
        <f>USD!X31</f>
        <v>0.95</v>
      </c>
      <c r="Y30" s="176">
        <f>USD!Y31</f>
        <v>1</v>
      </c>
      <c r="Z30" s="176">
        <f>USD!Z31</f>
        <v>0.9</v>
      </c>
      <c r="AA30" s="176">
        <f>USD!AA31</f>
        <v>0.85</v>
      </c>
    </row>
    <row r="31" spans="15:27" ht="12">
      <c r="O31" s="87" t="str">
        <f>USD!O32</f>
        <v>г. Астрахань</v>
      </c>
      <c r="P31" s="88">
        <f>USD!P32</f>
        <v>100</v>
      </c>
      <c r="Q31" s="88">
        <f>USD!Q32</f>
        <v>85</v>
      </c>
      <c r="R31" s="176">
        <f>USD!R32</f>
        <v>0.9</v>
      </c>
      <c r="S31" s="176">
        <f>USD!S32</f>
        <v>0.85</v>
      </c>
      <c r="T31" s="176">
        <f>USD!T32</f>
        <v>0.7</v>
      </c>
      <c r="U31" s="176">
        <f>USD!U32</f>
        <v>0.85</v>
      </c>
      <c r="V31" s="176">
        <f>USD!V32</f>
        <v>0.7</v>
      </c>
      <c r="W31" s="176">
        <f>USD!W32</f>
        <v>0.9</v>
      </c>
      <c r="X31" s="176">
        <f>USD!X32</f>
        <v>0.95</v>
      </c>
      <c r="Y31" s="176">
        <f>USD!Y32</f>
        <v>1</v>
      </c>
      <c r="Z31" s="176">
        <f>USD!Z32</f>
        <v>0.9</v>
      </c>
      <c r="AA31" s="176">
        <f>USD!AA32</f>
        <v>0.85</v>
      </c>
    </row>
    <row r="32" spans="15:27" ht="12">
      <c r="O32" s="87" t="str">
        <f>USD!O33</f>
        <v>Алтайский край (не включая г. Барнаул)</v>
      </c>
      <c r="P32" s="88">
        <f>USD!P33</f>
        <v>100</v>
      </c>
      <c r="Q32" s="88">
        <f>USD!Q33</f>
        <v>85</v>
      </c>
      <c r="R32" s="176">
        <f>USD!R33</f>
        <v>0.85</v>
      </c>
      <c r="S32" s="176">
        <f>USD!S33</f>
        <v>0.85</v>
      </c>
      <c r="T32" s="176">
        <f>USD!T33</f>
        <v>0.7</v>
      </c>
      <c r="U32" s="176">
        <f>USD!U33</f>
        <v>0.85</v>
      </c>
      <c r="V32" s="176">
        <f>USD!V33</f>
        <v>0.7</v>
      </c>
      <c r="W32" s="176">
        <f>USD!W33</f>
        <v>0.85</v>
      </c>
      <c r="X32" s="176">
        <f>USD!X33</f>
        <v>0.95</v>
      </c>
      <c r="Y32" s="176">
        <f>USD!Y33</f>
        <v>1</v>
      </c>
      <c r="Z32" s="176">
        <f>USD!Z33</f>
        <v>0.9</v>
      </c>
      <c r="AA32" s="176">
        <f>USD!AA33</f>
        <v>0.85</v>
      </c>
    </row>
    <row r="33" spans="15:27" ht="12">
      <c r="O33" s="87" t="str">
        <f>USD!O34</f>
        <v>г. Барнаул</v>
      </c>
      <c r="P33" s="88">
        <f>USD!P34</f>
        <v>100</v>
      </c>
      <c r="Q33" s="88">
        <f>USD!Q34</f>
        <v>85</v>
      </c>
      <c r="R33" s="176">
        <f>USD!R34</f>
        <v>0.9</v>
      </c>
      <c r="S33" s="176">
        <f>USD!S34</f>
        <v>0.85</v>
      </c>
      <c r="T33" s="176">
        <f>USD!T34</f>
        <v>0.7</v>
      </c>
      <c r="U33" s="176">
        <f>USD!U34</f>
        <v>0.85</v>
      </c>
      <c r="V33" s="176">
        <f>USD!V34</f>
        <v>0.7</v>
      </c>
      <c r="W33" s="176">
        <f>USD!W34</f>
        <v>0.9</v>
      </c>
      <c r="X33" s="176">
        <f>USD!X34</f>
        <v>0.95</v>
      </c>
      <c r="Y33" s="176">
        <f>USD!Y34</f>
        <v>1</v>
      </c>
      <c r="Z33" s="176">
        <f>USD!Z34</f>
        <v>0.9</v>
      </c>
      <c r="AA33" s="176">
        <f>USD!AA34</f>
        <v>0.85</v>
      </c>
    </row>
    <row r="34" spans="15:27" ht="12">
      <c r="O34" s="87" t="str">
        <f>USD!O35</f>
        <v>Белгородская область (не включая г. Белгород)</v>
      </c>
      <c r="P34" s="88">
        <f>USD!P35</f>
        <v>100</v>
      </c>
      <c r="Q34" s="88">
        <f>USD!Q35</f>
        <v>85</v>
      </c>
      <c r="R34" s="176">
        <f>USD!R35</f>
        <v>0.85</v>
      </c>
      <c r="S34" s="176">
        <f>USD!S35</f>
        <v>0.85</v>
      </c>
      <c r="T34" s="176">
        <f>USD!T35</f>
        <v>0.7</v>
      </c>
      <c r="U34" s="176">
        <f>USD!U35</f>
        <v>0.85</v>
      </c>
      <c r="V34" s="176">
        <f>USD!V35</f>
        <v>0.7</v>
      </c>
      <c r="W34" s="176">
        <f>USD!W35</f>
        <v>0.85</v>
      </c>
      <c r="X34" s="176">
        <f>USD!X35</f>
        <v>0.95</v>
      </c>
      <c r="Y34" s="176">
        <f>USD!Y35</f>
        <v>1</v>
      </c>
      <c r="Z34" s="176">
        <f>USD!Z35</f>
        <v>0.9</v>
      </c>
      <c r="AA34" s="176">
        <f>USD!AA35</f>
        <v>0.85</v>
      </c>
    </row>
    <row r="35" spans="15:27" ht="12">
      <c r="O35" s="87" t="str">
        <f>USD!O36</f>
        <v>г. Белгород</v>
      </c>
      <c r="P35" s="88">
        <f>USD!P36</f>
        <v>100</v>
      </c>
      <c r="Q35" s="88">
        <f>USD!Q36</f>
        <v>85</v>
      </c>
      <c r="R35" s="176">
        <f>USD!R36</f>
        <v>0.9</v>
      </c>
      <c r="S35" s="176">
        <f>USD!S36</f>
        <v>0.85</v>
      </c>
      <c r="T35" s="176">
        <f>USD!T36</f>
        <v>0.7</v>
      </c>
      <c r="U35" s="176">
        <f>USD!U36</f>
        <v>0.85</v>
      </c>
      <c r="V35" s="176">
        <f>USD!V36</f>
        <v>0.7</v>
      </c>
      <c r="W35" s="176">
        <f>USD!W36</f>
        <v>0.9</v>
      </c>
      <c r="X35" s="176">
        <f>USD!X36</f>
        <v>0.95</v>
      </c>
      <c r="Y35" s="176">
        <f>USD!Y36</f>
        <v>1</v>
      </c>
      <c r="Z35" s="176">
        <f>USD!Z36</f>
        <v>0.9</v>
      </c>
      <c r="AA35" s="176">
        <f>USD!AA36</f>
        <v>0.85</v>
      </c>
    </row>
    <row r="36" spans="15:27" ht="12">
      <c r="O36" s="87" t="str">
        <f>USD!O37</f>
        <v>Владимирская область (не включая г. Владимир)</v>
      </c>
      <c r="P36" s="88">
        <f>USD!P37</f>
        <v>100</v>
      </c>
      <c r="Q36" s="88">
        <f>USD!Q37</f>
        <v>85</v>
      </c>
      <c r="R36" s="176">
        <f>USD!R37</f>
        <v>0.85</v>
      </c>
      <c r="S36" s="176">
        <f>USD!S37</f>
        <v>0.85</v>
      </c>
      <c r="T36" s="176">
        <f>USD!T37</f>
        <v>0.7</v>
      </c>
      <c r="U36" s="176">
        <f>USD!U37</f>
        <v>0.85</v>
      </c>
      <c r="V36" s="176">
        <f>USD!V37</f>
        <v>0.7</v>
      </c>
      <c r="W36" s="176">
        <f>USD!W37</f>
        <v>0.85</v>
      </c>
      <c r="X36" s="176">
        <f>USD!X37</f>
        <v>0.95</v>
      </c>
      <c r="Y36" s="176">
        <f>USD!Y37</f>
        <v>1</v>
      </c>
      <c r="Z36" s="176">
        <f>USD!Z37</f>
        <v>0.9</v>
      </c>
      <c r="AA36" s="176">
        <f>USD!AA37</f>
        <v>0.85</v>
      </c>
    </row>
    <row r="37" spans="15:27" ht="12">
      <c r="O37" s="87" t="str">
        <f>USD!O38</f>
        <v>г. Владимир</v>
      </c>
      <c r="P37" s="88">
        <f>USD!P38</f>
        <v>100</v>
      </c>
      <c r="Q37" s="88">
        <f>USD!Q38</f>
        <v>85</v>
      </c>
      <c r="R37" s="176">
        <f>USD!R38</f>
        <v>0.9</v>
      </c>
      <c r="S37" s="176">
        <f>USD!S38</f>
        <v>0.85</v>
      </c>
      <c r="T37" s="176">
        <f>USD!T38</f>
        <v>0.7</v>
      </c>
      <c r="U37" s="176">
        <f>USD!U38</f>
        <v>0.85</v>
      </c>
      <c r="V37" s="176">
        <f>USD!V38</f>
        <v>0.7</v>
      </c>
      <c r="W37" s="176">
        <f>USD!W38</f>
        <v>0.9</v>
      </c>
      <c r="X37" s="176">
        <f>USD!X38</f>
        <v>0.95</v>
      </c>
      <c r="Y37" s="176">
        <f>USD!Y38</f>
        <v>1</v>
      </c>
      <c r="Z37" s="176">
        <f>USD!Z38</f>
        <v>0.9</v>
      </c>
      <c r="AA37" s="176">
        <f>USD!AA38</f>
        <v>0.85</v>
      </c>
    </row>
    <row r="38" spans="15:27" ht="12">
      <c r="O38" s="87" t="str">
        <f>USD!O39</f>
        <v>Волгоградская область (не включая г. Волгоград)</v>
      </c>
      <c r="P38" s="88">
        <f>USD!P39</f>
        <v>100</v>
      </c>
      <c r="Q38" s="88">
        <f>USD!Q39</f>
        <v>85</v>
      </c>
      <c r="R38" s="176">
        <f>USD!R39</f>
        <v>0.85</v>
      </c>
      <c r="S38" s="176">
        <f>USD!S39</f>
        <v>0.85</v>
      </c>
      <c r="T38" s="176">
        <f>USD!T39</f>
        <v>0.7</v>
      </c>
      <c r="U38" s="176">
        <f>USD!U39</f>
        <v>0.85</v>
      </c>
      <c r="V38" s="176">
        <f>USD!V39</f>
        <v>0.7</v>
      </c>
      <c r="W38" s="176">
        <f>USD!W39</f>
        <v>0.85</v>
      </c>
      <c r="X38" s="176">
        <f>USD!X39</f>
        <v>0.95</v>
      </c>
      <c r="Y38" s="176">
        <f>USD!Y39</f>
        <v>1</v>
      </c>
      <c r="Z38" s="176">
        <f>USD!Z39</f>
        <v>0.9</v>
      </c>
      <c r="AA38" s="176">
        <f>USD!AA39</f>
        <v>0.85</v>
      </c>
    </row>
    <row r="39" spans="15:27" ht="12">
      <c r="O39" s="87" t="str">
        <f>USD!O40</f>
        <v>г. Волгоград</v>
      </c>
      <c r="P39" s="88">
        <f>USD!P40</f>
        <v>100</v>
      </c>
      <c r="Q39" s="88">
        <f>USD!Q40</f>
        <v>85</v>
      </c>
      <c r="R39" s="176">
        <f>USD!R40</f>
        <v>0.9</v>
      </c>
      <c r="S39" s="176">
        <f>USD!S40</f>
        <v>0.85</v>
      </c>
      <c r="T39" s="176">
        <f>USD!T40</f>
        <v>0.7</v>
      </c>
      <c r="U39" s="176">
        <f>USD!U40</f>
        <v>0.85</v>
      </c>
      <c r="V39" s="176">
        <f>USD!V40</f>
        <v>0.7</v>
      </c>
      <c r="W39" s="176">
        <f>USD!W40</f>
        <v>0.9</v>
      </c>
      <c r="X39" s="176">
        <f>USD!X40</f>
        <v>0.95</v>
      </c>
      <c r="Y39" s="176">
        <f>USD!Y40</f>
        <v>1</v>
      </c>
      <c r="Z39" s="176">
        <f>USD!Z40</f>
        <v>0.9</v>
      </c>
      <c r="AA39" s="176">
        <f>USD!AA40</f>
        <v>0.85</v>
      </c>
    </row>
    <row r="40" spans="15:27" ht="12">
      <c r="O40" s="87" t="str">
        <f>USD!O41</f>
        <v>г. Вологда</v>
      </c>
      <c r="P40" s="88">
        <f>USD!P41</f>
        <v>120</v>
      </c>
      <c r="Q40" s="88">
        <f>USD!Q41</f>
        <v>100</v>
      </c>
      <c r="R40" s="176">
        <f>USD!R41</f>
        <v>0.9</v>
      </c>
      <c r="S40" s="176">
        <f>USD!S41</f>
        <v>0.85</v>
      </c>
      <c r="T40" s="176">
        <f>USD!T41</f>
        <v>0.7</v>
      </c>
      <c r="U40" s="176">
        <f>USD!U41</f>
        <v>0.85</v>
      </c>
      <c r="V40" s="176">
        <f>USD!V41</f>
        <v>0.7</v>
      </c>
      <c r="W40" s="176">
        <f>USD!W41</f>
        <v>0.9</v>
      </c>
      <c r="X40" s="176">
        <f>USD!X41</f>
        <v>0.95</v>
      </c>
      <c r="Y40" s="176">
        <f>USD!Y41</f>
        <v>1</v>
      </c>
      <c r="Z40" s="176">
        <f>USD!Z41</f>
        <v>0.9</v>
      </c>
      <c r="AA40" s="176">
        <f>USD!AA41</f>
        <v>0.85</v>
      </c>
    </row>
    <row r="41" spans="15:27" ht="11.25">
      <c r="O41" s="87" t="str">
        <f>USD!O42</f>
        <v>Воронежская область (включая г. Воронеж)</v>
      </c>
      <c r="P41" s="88">
        <f>USD!P42</f>
        <v>100</v>
      </c>
      <c r="Q41" s="88">
        <f>USD!Q42</f>
        <v>85</v>
      </c>
      <c r="R41" s="176">
        <f>USD!R42</f>
        <v>0.85</v>
      </c>
      <c r="S41" s="176">
        <f>USD!S42</f>
        <v>0.85</v>
      </c>
      <c r="T41" s="176">
        <f>USD!T42</f>
        <v>0.7</v>
      </c>
      <c r="U41" s="176">
        <f>USD!U42</f>
        <v>0.85</v>
      </c>
      <c r="V41" s="176">
        <f>USD!V42</f>
        <v>0.7</v>
      </c>
      <c r="W41" s="176">
        <f>USD!W42</f>
        <v>0.85</v>
      </c>
      <c r="X41" s="176">
        <f>USD!X42</f>
        <v>0.95</v>
      </c>
      <c r="Y41" s="176">
        <f>USD!Y42</f>
        <v>1</v>
      </c>
      <c r="Z41" s="176">
        <f>USD!Z42</f>
        <v>0.9</v>
      </c>
      <c r="AA41" s="176">
        <f>USD!AA42</f>
        <v>0.85</v>
      </c>
    </row>
    <row r="42" spans="15:27" ht="11.25">
      <c r="O42" s="87" t="str">
        <f>USD!O43</f>
        <v>Иркутская область (не включая г. Иркутск и г. Ангарск)</v>
      </c>
      <c r="P42" s="88">
        <f>USD!P43</f>
        <v>120</v>
      </c>
      <c r="Q42" s="88">
        <f>USD!Q43</f>
        <v>100</v>
      </c>
      <c r="R42" s="176">
        <f>USD!R43</f>
        <v>0.85</v>
      </c>
      <c r="S42" s="176">
        <f>USD!S43</f>
        <v>0.85</v>
      </c>
      <c r="T42" s="176">
        <f>USD!T43</f>
        <v>0.7</v>
      </c>
      <c r="U42" s="176">
        <f>USD!U43</f>
        <v>0.85</v>
      </c>
      <c r="V42" s="176">
        <f>USD!V43</f>
        <v>0.7</v>
      </c>
      <c r="W42" s="176">
        <f>USD!W43</f>
        <v>0.85</v>
      </c>
      <c r="X42" s="176">
        <f>USD!X43</f>
        <v>0.95</v>
      </c>
      <c r="Y42" s="176">
        <f>USD!Y43</f>
        <v>1</v>
      </c>
      <c r="Z42" s="176">
        <f>USD!Z43</f>
        <v>0.9</v>
      </c>
      <c r="AA42" s="176">
        <f>USD!AA43</f>
        <v>0.85</v>
      </c>
    </row>
    <row r="43" spans="15:27" ht="11.25">
      <c r="O43" s="87" t="str">
        <f>USD!O44</f>
        <v>г. Иркутск</v>
      </c>
      <c r="P43" s="88">
        <f>USD!P44</f>
        <v>120</v>
      </c>
      <c r="Q43" s="88">
        <f>USD!Q44</f>
        <v>100</v>
      </c>
      <c r="R43" s="176">
        <f>USD!R44</f>
        <v>0.9</v>
      </c>
      <c r="S43" s="176">
        <f>USD!S44</f>
        <v>0.85</v>
      </c>
      <c r="T43" s="176">
        <f>USD!T44</f>
        <v>0.7</v>
      </c>
      <c r="U43" s="176">
        <f>USD!U44</f>
        <v>0.85</v>
      </c>
      <c r="V43" s="176">
        <f>USD!V44</f>
        <v>0.7</v>
      </c>
      <c r="W43" s="176">
        <f>USD!W44</f>
        <v>0.9</v>
      </c>
      <c r="X43" s="176">
        <f>USD!X44</f>
        <v>0.95</v>
      </c>
      <c r="Y43" s="176">
        <f>USD!Y44</f>
        <v>1</v>
      </c>
      <c r="Z43" s="176">
        <f>USD!Z44</f>
        <v>0.9</v>
      </c>
      <c r="AA43" s="176">
        <f>USD!AA44</f>
        <v>0.85</v>
      </c>
    </row>
    <row r="44" spans="15:27" ht="11.25">
      <c r="O44" s="87" t="str">
        <f>USD!O45</f>
        <v>г. Ангарск</v>
      </c>
      <c r="P44" s="88">
        <f>USD!P45</f>
        <v>120</v>
      </c>
      <c r="Q44" s="88">
        <f>USD!Q45</f>
        <v>100</v>
      </c>
      <c r="R44" s="176">
        <f>USD!R45</f>
        <v>0.9</v>
      </c>
      <c r="S44" s="176">
        <f>USD!S45</f>
        <v>0.85</v>
      </c>
      <c r="T44" s="176">
        <f>USD!T45</f>
        <v>0.7</v>
      </c>
      <c r="U44" s="176">
        <f>USD!U45</f>
        <v>0.85</v>
      </c>
      <c r="V44" s="176">
        <f>USD!V45</f>
        <v>0.7</v>
      </c>
      <c r="W44" s="176">
        <f>USD!W45</f>
        <v>0.9</v>
      </c>
      <c r="X44" s="176">
        <f>USD!X45</f>
        <v>0.95</v>
      </c>
      <c r="Y44" s="176">
        <f>USD!Y45</f>
        <v>1</v>
      </c>
      <c r="Z44" s="176">
        <f>USD!Z45</f>
        <v>0.9</v>
      </c>
      <c r="AA44" s="176">
        <f>USD!AA45</f>
        <v>0.85</v>
      </c>
    </row>
    <row r="45" spans="15:27" ht="11.25">
      <c r="O45" s="87" t="str">
        <f>USD!O46</f>
        <v>Калининградская область (не включая г. Калининград)</v>
      </c>
      <c r="P45" s="88">
        <f>USD!P46</f>
        <v>100</v>
      </c>
      <c r="Q45" s="88">
        <f>USD!Q46</f>
        <v>85</v>
      </c>
      <c r="R45" s="176">
        <f>USD!R46</f>
        <v>0.85</v>
      </c>
      <c r="S45" s="176">
        <f>USD!S46</f>
        <v>0.85</v>
      </c>
      <c r="T45" s="176">
        <f>USD!T46</f>
        <v>0.7</v>
      </c>
      <c r="U45" s="176">
        <f>USD!U46</f>
        <v>0.85</v>
      </c>
      <c r="V45" s="176">
        <f>USD!V46</f>
        <v>0.7</v>
      </c>
      <c r="W45" s="176">
        <f>USD!W46</f>
        <v>0.85</v>
      </c>
      <c r="X45" s="176">
        <f>USD!X46</f>
        <v>0.95</v>
      </c>
      <c r="Y45" s="176">
        <f>USD!Y46</f>
        <v>1</v>
      </c>
      <c r="Z45" s="176">
        <f>USD!Z46</f>
        <v>0.9</v>
      </c>
      <c r="AA45" s="176">
        <f>USD!AA46</f>
        <v>0.85</v>
      </c>
    </row>
    <row r="46" spans="15:27" ht="11.25">
      <c r="O46" s="87" t="str">
        <f>USD!O47</f>
        <v>г. Калининград</v>
      </c>
      <c r="P46" s="88">
        <f>USD!P47</f>
        <v>100</v>
      </c>
      <c r="Q46" s="88">
        <f>USD!Q47</f>
        <v>85</v>
      </c>
      <c r="R46" s="176">
        <f>USD!R47</f>
        <v>0.9</v>
      </c>
      <c r="S46" s="176">
        <f>USD!S47</f>
        <v>0.85</v>
      </c>
      <c r="T46" s="176">
        <f>USD!T47</f>
        <v>0.7</v>
      </c>
      <c r="U46" s="176">
        <f>USD!U47</f>
        <v>0.85</v>
      </c>
      <c r="V46" s="176">
        <f>USD!V47</f>
        <v>0.7</v>
      </c>
      <c r="W46" s="176">
        <f>USD!W47</f>
        <v>0.9</v>
      </c>
      <c r="X46" s="176">
        <f>USD!X47</f>
        <v>0.95</v>
      </c>
      <c r="Y46" s="176">
        <f>USD!Y47</f>
        <v>1</v>
      </c>
      <c r="Z46" s="176">
        <f>USD!Z47</f>
        <v>0.9</v>
      </c>
      <c r="AA46" s="176">
        <f>USD!AA47</f>
        <v>0.85</v>
      </c>
    </row>
    <row r="47" spans="15:27" ht="11.25">
      <c r="O47" s="87" t="str">
        <f>USD!O48</f>
        <v>Кемеровская область (не включая г. Кемерово)</v>
      </c>
      <c r="P47" s="88">
        <f>USD!P48</f>
        <v>100</v>
      </c>
      <c r="Q47" s="88">
        <f>USD!Q48</f>
        <v>85</v>
      </c>
      <c r="R47" s="176">
        <f>USD!R48</f>
        <v>0.85</v>
      </c>
      <c r="S47" s="176">
        <f>USD!S48</f>
        <v>0.85</v>
      </c>
      <c r="T47" s="176">
        <f>USD!T48</f>
        <v>0.7</v>
      </c>
      <c r="U47" s="176">
        <f>USD!U48</f>
        <v>0.85</v>
      </c>
      <c r="V47" s="176">
        <f>USD!V48</f>
        <v>0.7</v>
      </c>
      <c r="W47" s="176">
        <f>USD!W48</f>
        <v>0.85</v>
      </c>
      <c r="X47" s="176">
        <f>USD!X48</f>
        <v>0.95</v>
      </c>
      <c r="Y47" s="176">
        <f>USD!Y48</f>
        <v>1</v>
      </c>
      <c r="Z47" s="176">
        <f>USD!Z48</f>
        <v>0.9</v>
      </c>
      <c r="AA47" s="176">
        <f>USD!AA48</f>
        <v>0.85</v>
      </c>
    </row>
    <row r="48" spans="15:27" ht="11.25">
      <c r="O48" s="87" t="str">
        <f>USD!O49</f>
        <v>г. Кемерово</v>
      </c>
      <c r="P48" s="88">
        <f>USD!P49</f>
        <v>100</v>
      </c>
      <c r="Q48" s="88">
        <f>USD!Q49</f>
        <v>85</v>
      </c>
      <c r="R48" s="176">
        <f>USD!R49</f>
        <v>0.9</v>
      </c>
      <c r="S48" s="176">
        <f>USD!S49</f>
        <v>0.85</v>
      </c>
      <c r="T48" s="176">
        <f>USD!T49</f>
        <v>0.7</v>
      </c>
      <c r="U48" s="176">
        <f>USD!U49</f>
        <v>0.85</v>
      </c>
      <c r="V48" s="176">
        <f>USD!V49</f>
        <v>0.7</v>
      </c>
      <c r="W48" s="176">
        <f>USD!W49</f>
        <v>0.9</v>
      </c>
      <c r="X48" s="176">
        <f>USD!X49</f>
        <v>0.95</v>
      </c>
      <c r="Y48" s="176">
        <f>USD!Y49</f>
        <v>1</v>
      </c>
      <c r="Z48" s="176">
        <f>USD!Z49</f>
        <v>0.9</v>
      </c>
      <c r="AA48" s="176">
        <f>USD!AA49</f>
        <v>0.85</v>
      </c>
    </row>
    <row r="49" spans="15:27" ht="11.25">
      <c r="O49" s="87" t="str">
        <f>USD!O50</f>
        <v>Костромская область (не включая г. Кострома)</v>
      </c>
      <c r="P49" s="88">
        <f>USD!P50</f>
        <v>100</v>
      </c>
      <c r="Q49" s="88">
        <f>USD!Q50</f>
        <v>85</v>
      </c>
      <c r="R49" s="176">
        <f>USD!R50</f>
        <v>0.85</v>
      </c>
      <c r="S49" s="176">
        <f>USD!S50</f>
        <v>0.85</v>
      </c>
      <c r="T49" s="176">
        <f>USD!T50</f>
        <v>0.7</v>
      </c>
      <c r="U49" s="176">
        <f>USD!U50</f>
        <v>0.85</v>
      </c>
      <c r="V49" s="176">
        <f>USD!V50</f>
        <v>0.7</v>
      </c>
      <c r="W49" s="176">
        <f>USD!W50</f>
        <v>0.85</v>
      </c>
      <c r="X49" s="176">
        <f>USD!X50</f>
        <v>0.95</v>
      </c>
      <c r="Y49" s="176">
        <f>USD!Y50</f>
        <v>1</v>
      </c>
      <c r="Z49" s="176">
        <f>USD!Z50</f>
        <v>0.9</v>
      </c>
      <c r="AA49" s="176">
        <f>USD!AA50</f>
        <v>0.85</v>
      </c>
    </row>
    <row r="50" spans="15:27" ht="11.25">
      <c r="O50" s="87" t="str">
        <f>USD!O51</f>
        <v>г. Кострома</v>
      </c>
      <c r="P50" s="88">
        <f>USD!P51</f>
        <v>100</v>
      </c>
      <c r="Q50" s="88">
        <f>USD!Q51</f>
        <v>85</v>
      </c>
      <c r="R50" s="176">
        <f>USD!R51</f>
        <v>0.9</v>
      </c>
      <c r="S50" s="176">
        <f>USD!S51</f>
        <v>0.85</v>
      </c>
      <c r="T50" s="176">
        <f>USD!T51</f>
        <v>0.7</v>
      </c>
      <c r="U50" s="176">
        <f>USD!U51</f>
        <v>0.85</v>
      </c>
      <c r="V50" s="176">
        <f>USD!V51</f>
        <v>0.7</v>
      </c>
      <c r="W50" s="176">
        <f>USD!W51</f>
        <v>0.9</v>
      </c>
      <c r="X50" s="176">
        <f>USD!X51</f>
        <v>0.95</v>
      </c>
      <c r="Y50" s="176">
        <f>USD!Y51</f>
        <v>1</v>
      </c>
      <c r="Z50" s="176">
        <f>USD!Z51</f>
        <v>0.9</v>
      </c>
      <c r="AA50" s="176">
        <f>USD!AA51</f>
        <v>0.85</v>
      </c>
    </row>
    <row r="51" spans="15:27" ht="11.25">
      <c r="O51" s="87" t="str">
        <f>USD!O52</f>
        <v>Краснодарский край (не включая г. Краснодар и г. Сочи)</v>
      </c>
      <c r="P51" s="88">
        <f>USD!P52</f>
        <v>100</v>
      </c>
      <c r="Q51" s="88">
        <f>USD!Q52</f>
        <v>85</v>
      </c>
      <c r="R51" s="176">
        <f>USD!R52</f>
        <v>0.85</v>
      </c>
      <c r="S51" s="176">
        <f>USD!S52</f>
        <v>0.85</v>
      </c>
      <c r="T51" s="176">
        <f>USD!T52</f>
        <v>0.7</v>
      </c>
      <c r="U51" s="176">
        <f>USD!U52</f>
        <v>0.85</v>
      </c>
      <c r="V51" s="176">
        <f>USD!V52</f>
        <v>0.7</v>
      </c>
      <c r="W51" s="176">
        <f>USD!W52</f>
        <v>0.85</v>
      </c>
      <c r="X51" s="176">
        <f>USD!X52</f>
        <v>0.95</v>
      </c>
      <c r="Y51" s="176">
        <f>USD!Y52</f>
        <v>1</v>
      </c>
      <c r="Z51" s="176">
        <f>USD!Z52</f>
        <v>0.9</v>
      </c>
      <c r="AA51" s="176">
        <f>USD!AA52</f>
        <v>0.85</v>
      </c>
    </row>
    <row r="52" spans="15:27" ht="11.25">
      <c r="O52" s="87" t="str">
        <f>USD!O53</f>
        <v>г. Краснодар</v>
      </c>
      <c r="P52" s="88">
        <f>USD!P53</f>
        <v>100</v>
      </c>
      <c r="Q52" s="88">
        <f>USD!Q53</f>
        <v>85</v>
      </c>
      <c r="R52" s="176">
        <f>USD!R53</f>
        <v>0.9</v>
      </c>
      <c r="S52" s="176">
        <f>USD!S53</f>
        <v>0.85</v>
      </c>
      <c r="T52" s="176">
        <f>USD!T53</f>
        <v>0.7</v>
      </c>
      <c r="U52" s="176">
        <f>USD!U53</f>
        <v>0.85</v>
      </c>
      <c r="V52" s="176">
        <f>USD!V53</f>
        <v>0.7</v>
      </c>
      <c r="W52" s="176">
        <f>USD!W53</f>
        <v>0.9</v>
      </c>
      <c r="X52" s="176">
        <f>USD!X53</f>
        <v>0.95</v>
      </c>
      <c r="Y52" s="176">
        <f>USD!Y53</f>
        <v>1</v>
      </c>
      <c r="Z52" s="176">
        <f>USD!Z53</f>
        <v>0.9</v>
      </c>
      <c r="AA52" s="176">
        <f>USD!AA53</f>
        <v>0.85</v>
      </c>
    </row>
    <row r="53" spans="15:27" ht="11.25">
      <c r="O53" s="87" t="str">
        <f>USD!O54</f>
        <v>г. Сочи</v>
      </c>
      <c r="P53" s="88">
        <f>USD!P54</f>
        <v>100</v>
      </c>
      <c r="Q53" s="88">
        <f>USD!Q54</f>
        <v>85</v>
      </c>
      <c r="R53" s="176">
        <f>USD!R54</f>
        <v>0.9</v>
      </c>
      <c r="S53" s="176">
        <f>USD!S54</f>
        <v>0.85</v>
      </c>
      <c r="T53" s="176">
        <f>USD!T54</f>
        <v>0.7</v>
      </c>
      <c r="U53" s="176">
        <f>USD!U54</f>
        <v>0.85</v>
      </c>
      <c r="V53" s="176">
        <f>USD!V54</f>
        <v>0.7</v>
      </c>
      <c r="W53" s="176">
        <f>USD!W54</f>
        <v>0.9</v>
      </c>
      <c r="X53" s="176">
        <f>USD!X54</f>
        <v>0.95</v>
      </c>
      <c r="Y53" s="176">
        <f>USD!Y54</f>
        <v>1</v>
      </c>
      <c r="Z53" s="176">
        <f>USD!Z54</f>
        <v>0.9</v>
      </c>
      <c r="AA53" s="176">
        <f>USD!AA54</f>
        <v>0.85</v>
      </c>
    </row>
    <row r="54" spans="15:27" ht="11.25">
      <c r="O54" s="87" t="str">
        <f>USD!O55</f>
        <v>Красноярский край (не включая г. Красноярск)</v>
      </c>
      <c r="P54" s="88">
        <f>USD!P55</f>
        <v>100</v>
      </c>
      <c r="Q54" s="88">
        <f>USD!Q55</f>
        <v>85</v>
      </c>
      <c r="R54" s="176">
        <f>USD!R55</f>
        <v>0.85</v>
      </c>
      <c r="S54" s="176">
        <f>USD!S55</f>
        <v>0.85</v>
      </c>
      <c r="T54" s="176">
        <f>USD!T55</f>
        <v>0.7</v>
      </c>
      <c r="U54" s="176">
        <f>USD!U55</f>
        <v>0.85</v>
      </c>
      <c r="V54" s="176">
        <f>USD!V55</f>
        <v>0.7</v>
      </c>
      <c r="W54" s="176">
        <f>USD!W55</f>
        <v>0.85</v>
      </c>
      <c r="X54" s="176">
        <f>USD!X55</f>
        <v>0.95</v>
      </c>
      <c r="Y54" s="176">
        <f>USD!Y55</f>
        <v>1</v>
      </c>
      <c r="Z54" s="176">
        <f>USD!Z55</f>
        <v>0.9</v>
      </c>
      <c r="AA54" s="176">
        <f>USD!AA55</f>
        <v>0.85</v>
      </c>
    </row>
    <row r="55" spans="15:27" ht="11.25">
      <c r="O55" s="87" t="str">
        <f>USD!O56</f>
        <v>г. Красноярск</v>
      </c>
      <c r="P55" s="88">
        <f>USD!P56</f>
        <v>100</v>
      </c>
      <c r="Q55" s="88">
        <f>USD!Q56</f>
        <v>85</v>
      </c>
      <c r="R55" s="176">
        <f>USD!R56</f>
        <v>1</v>
      </c>
      <c r="S55" s="176">
        <f>USD!S56</f>
        <v>0.95</v>
      </c>
      <c r="T55" s="176">
        <f>USD!T56</f>
        <v>0.9</v>
      </c>
      <c r="U55" s="176">
        <f>USD!U56</f>
        <v>0.95</v>
      </c>
      <c r="V55" s="176">
        <f>USD!V56</f>
        <v>0.95</v>
      </c>
      <c r="W55" s="176">
        <f>USD!W56</f>
        <v>1</v>
      </c>
      <c r="X55" s="176">
        <f>USD!X56</f>
        <v>0.95</v>
      </c>
      <c r="Y55" s="176">
        <f>USD!Y56</f>
        <v>1</v>
      </c>
      <c r="Z55" s="176">
        <f>USD!Z56</f>
        <v>0.9</v>
      </c>
      <c r="AA55" s="176">
        <f>USD!AA56</f>
        <v>0.85</v>
      </c>
    </row>
    <row r="56" spans="15:27" ht="11.25">
      <c r="O56" s="87" t="str">
        <f>USD!O57</f>
        <v>Курская область (не включая г. Курск)</v>
      </c>
      <c r="P56" s="88">
        <f>USD!P57</f>
        <v>100</v>
      </c>
      <c r="Q56" s="88">
        <f>USD!Q57</f>
        <v>85</v>
      </c>
      <c r="R56" s="176">
        <f>USD!R57</f>
        <v>0.85</v>
      </c>
      <c r="S56" s="176">
        <f>USD!S57</f>
        <v>0.85</v>
      </c>
      <c r="T56" s="176">
        <f>USD!T57</f>
        <v>0.7</v>
      </c>
      <c r="U56" s="176">
        <f>USD!U57</f>
        <v>0.85</v>
      </c>
      <c r="V56" s="176">
        <f>USD!V57</f>
        <v>0.7</v>
      </c>
      <c r="W56" s="176">
        <f>USD!W57</f>
        <v>0.85</v>
      </c>
      <c r="X56" s="176">
        <f>USD!X57</f>
        <v>0.95</v>
      </c>
      <c r="Y56" s="176">
        <f>USD!Y57</f>
        <v>1</v>
      </c>
      <c r="Z56" s="176">
        <f>USD!Z57</f>
        <v>0.9</v>
      </c>
      <c r="AA56" s="176">
        <f>USD!AA57</f>
        <v>0.85</v>
      </c>
    </row>
    <row r="57" spans="15:27" ht="11.25">
      <c r="O57" s="87" t="str">
        <f>USD!O58</f>
        <v>г. Курск</v>
      </c>
      <c r="P57" s="88">
        <f>USD!P58</f>
        <v>100</v>
      </c>
      <c r="Q57" s="88">
        <f>USD!Q58</f>
        <v>85</v>
      </c>
      <c r="R57" s="176">
        <f>USD!R58</f>
        <v>0.9</v>
      </c>
      <c r="S57" s="176">
        <f>USD!S58</f>
        <v>0.85</v>
      </c>
      <c r="T57" s="176">
        <f>USD!T58</f>
        <v>0.7</v>
      </c>
      <c r="U57" s="176">
        <f>USD!U58</f>
        <v>0.85</v>
      </c>
      <c r="V57" s="176">
        <f>USD!V58</f>
        <v>0.7</v>
      </c>
      <c r="W57" s="176">
        <f>USD!W58</f>
        <v>0.9</v>
      </c>
      <c r="X57" s="176">
        <f>USD!X58</f>
        <v>0.95</v>
      </c>
      <c r="Y57" s="176">
        <f>USD!Y58</f>
        <v>1</v>
      </c>
      <c r="Z57" s="176">
        <f>USD!Z58</f>
        <v>0.9</v>
      </c>
      <c r="AA57" s="176">
        <f>USD!AA58</f>
        <v>0.85</v>
      </c>
    </row>
    <row r="58" spans="15:27" ht="11.25">
      <c r="O58" s="87" t="str">
        <f>USD!O59</f>
        <v>Ленинградская область (включая г. Санкт-Петербург)</v>
      </c>
      <c r="P58" s="88">
        <f>USD!P59</f>
        <v>120</v>
      </c>
      <c r="Q58" s="88">
        <f>USD!Q59</f>
        <v>100</v>
      </c>
      <c r="R58" s="176">
        <f>USD!R59</f>
        <v>1</v>
      </c>
      <c r="S58" s="176">
        <f>USD!S59</f>
        <v>0.95</v>
      </c>
      <c r="T58" s="176">
        <f>USD!T59</f>
        <v>0.9</v>
      </c>
      <c r="U58" s="176">
        <f>USD!U59</f>
        <v>0.95</v>
      </c>
      <c r="V58" s="176">
        <f>USD!V59</f>
        <v>0.95</v>
      </c>
      <c r="W58" s="176">
        <f>USD!W59</f>
        <v>1</v>
      </c>
      <c r="X58" s="176">
        <f>USD!X59</f>
        <v>0.95</v>
      </c>
      <c r="Y58" s="176">
        <f>USD!Y59</f>
        <v>1</v>
      </c>
      <c r="Z58" s="176">
        <f>USD!Z59</f>
        <v>0.9</v>
      </c>
      <c r="AA58" s="176">
        <f>USD!AA59</f>
        <v>0.85</v>
      </c>
    </row>
    <row r="59" spans="15:27" ht="11.25">
      <c r="O59" s="87" t="str">
        <f>USD!O60</f>
        <v>Липецкая область (не включая г. Липецк)</v>
      </c>
      <c r="P59" s="88">
        <f>USD!P60</f>
        <v>100</v>
      </c>
      <c r="Q59" s="88">
        <f>USD!Q60</f>
        <v>85</v>
      </c>
      <c r="R59" s="176">
        <f>USD!R60</f>
        <v>0.85</v>
      </c>
      <c r="S59" s="176">
        <f>USD!S60</f>
        <v>0.85</v>
      </c>
      <c r="T59" s="176">
        <f>USD!T60</f>
        <v>0.7</v>
      </c>
      <c r="U59" s="176">
        <f>USD!U60</f>
        <v>0.85</v>
      </c>
      <c r="V59" s="176">
        <f>USD!V60</f>
        <v>0.7</v>
      </c>
      <c r="W59" s="176">
        <f>USD!W60</f>
        <v>0.85</v>
      </c>
      <c r="X59" s="176">
        <f>USD!X60</f>
        <v>0.95</v>
      </c>
      <c r="Y59" s="176">
        <f>USD!Y60</f>
        <v>1</v>
      </c>
      <c r="Z59" s="176">
        <f>USD!Z60</f>
        <v>0.9</v>
      </c>
      <c r="AA59" s="176">
        <f>USD!AA60</f>
        <v>0.85</v>
      </c>
    </row>
    <row r="60" spans="15:27" ht="11.25">
      <c r="O60" s="87" t="str">
        <f>USD!O61</f>
        <v>г. Липецк</v>
      </c>
      <c r="P60" s="88">
        <f>USD!P61</f>
        <v>100</v>
      </c>
      <c r="Q60" s="88">
        <f>USD!Q61</f>
        <v>85</v>
      </c>
      <c r="R60" s="176">
        <f>USD!R61</f>
        <v>0.9</v>
      </c>
      <c r="S60" s="176">
        <f>USD!S61</f>
        <v>0.85</v>
      </c>
      <c r="T60" s="176">
        <f>USD!T61</f>
        <v>0.7</v>
      </c>
      <c r="U60" s="176">
        <f>USD!U61</f>
        <v>0.85</v>
      </c>
      <c r="V60" s="176">
        <f>USD!V61</f>
        <v>0.7</v>
      </c>
      <c r="W60" s="176">
        <f>USD!W61</f>
        <v>0.9</v>
      </c>
      <c r="X60" s="176">
        <f>USD!X61</f>
        <v>0.95</v>
      </c>
      <c r="Y60" s="176">
        <f>USD!Y61</f>
        <v>1</v>
      </c>
      <c r="Z60" s="176">
        <f>USD!Z61</f>
        <v>0.9</v>
      </c>
      <c r="AA60" s="176">
        <f>USD!AA61</f>
        <v>0.85</v>
      </c>
    </row>
    <row r="61" spans="15:27" ht="11.25">
      <c r="O61" s="87" t="str">
        <f>USD!O62</f>
        <v>Нижегородская область (не включая г. Нижний Новгород)</v>
      </c>
      <c r="P61" s="88">
        <f>USD!P62</f>
        <v>100</v>
      </c>
      <c r="Q61" s="88">
        <f>USD!Q62</f>
        <v>85</v>
      </c>
      <c r="R61" s="176">
        <f>USD!R62</f>
        <v>0.85</v>
      </c>
      <c r="S61" s="176">
        <f>USD!S62</f>
        <v>0.85</v>
      </c>
      <c r="T61" s="176">
        <f>USD!T62</f>
        <v>0.7</v>
      </c>
      <c r="U61" s="176">
        <f>USD!U62</f>
        <v>0.85</v>
      </c>
      <c r="V61" s="176">
        <f>USD!V62</f>
        <v>0.7</v>
      </c>
      <c r="W61" s="176">
        <f>USD!W62</f>
        <v>0.85</v>
      </c>
      <c r="X61" s="176">
        <f>USD!X62</f>
        <v>0.95</v>
      </c>
      <c r="Y61" s="176">
        <f>USD!Y62</f>
        <v>1</v>
      </c>
      <c r="Z61" s="176">
        <f>USD!Z62</f>
        <v>0.9</v>
      </c>
      <c r="AA61" s="176">
        <f>USD!AA62</f>
        <v>0.85</v>
      </c>
    </row>
    <row r="62" spans="15:27" ht="11.25">
      <c r="O62" s="87" t="str">
        <f>USD!O63</f>
        <v>г. Нижний Новгород</v>
      </c>
      <c r="P62" s="88">
        <f>USD!P63</f>
        <v>100</v>
      </c>
      <c r="Q62" s="88">
        <f>USD!Q63</f>
        <v>85</v>
      </c>
      <c r="R62" s="176">
        <f>USD!R63</f>
        <v>1</v>
      </c>
      <c r="S62" s="176">
        <f>USD!S63</f>
        <v>0.95</v>
      </c>
      <c r="T62" s="176">
        <f>USD!T63</f>
        <v>0.9</v>
      </c>
      <c r="U62" s="176">
        <f>USD!U63</f>
        <v>0.95</v>
      </c>
      <c r="V62" s="176">
        <f>USD!V63</f>
        <v>0.95</v>
      </c>
      <c r="W62" s="176">
        <f>USD!W63</f>
        <v>1</v>
      </c>
      <c r="X62" s="176">
        <f>USD!X63</f>
        <v>0.95</v>
      </c>
      <c r="Y62" s="176">
        <f>USD!Y63</f>
        <v>1</v>
      </c>
      <c r="Z62" s="176">
        <f>USD!Z63</f>
        <v>0.9</v>
      </c>
      <c r="AA62" s="176">
        <f>USD!AA63</f>
        <v>0.85</v>
      </c>
    </row>
    <row r="63" spans="15:27" ht="11.25">
      <c r="O63" s="87" t="str">
        <f>USD!O64</f>
        <v>Новосибирская область (не включая г. Новосибирск)</v>
      </c>
      <c r="P63" s="88">
        <f>USD!P64</f>
        <v>100</v>
      </c>
      <c r="Q63" s="88">
        <f>USD!Q64</f>
        <v>85</v>
      </c>
      <c r="R63" s="176">
        <f>USD!R64</f>
        <v>0.85</v>
      </c>
      <c r="S63" s="176">
        <f>USD!S64</f>
        <v>0.85</v>
      </c>
      <c r="T63" s="176">
        <f>USD!T64</f>
        <v>0.7</v>
      </c>
      <c r="U63" s="176">
        <f>USD!U64</f>
        <v>0.85</v>
      </c>
      <c r="V63" s="176">
        <f>USD!V64</f>
        <v>0.7</v>
      </c>
      <c r="W63" s="176">
        <f>USD!W64</f>
        <v>0.85</v>
      </c>
      <c r="X63" s="176">
        <f>USD!X64</f>
        <v>0.95</v>
      </c>
      <c r="Y63" s="176">
        <f>USD!Y64</f>
        <v>1</v>
      </c>
      <c r="Z63" s="176">
        <f>USD!Z64</f>
        <v>0.9</v>
      </c>
      <c r="AA63" s="176">
        <f>USD!AA64</f>
        <v>0.85</v>
      </c>
    </row>
    <row r="64" spans="15:27" ht="11.25">
      <c r="O64" s="87" t="str">
        <f>USD!O65</f>
        <v>г. Новосибирск</v>
      </c>
      <c r="P64" s="88">
        <f>USD!P65</f>
        <v>100</v>
      </c>
      <c r="Q64" s="88">
        <f>USD!Q65</f>
        <v>85</v>
      </c>
      <c r="R64" s="176">
        <f>USD!R65</f>
        <v>1</v>
      </c>
      <c r="S64" s="176">
        <f>USD!S65</f>
        <v>0.95</v>
      </c>
      <c r="T64" s="176">
        <f>USD!T65</f>
        <v>0.9</v>
      </c>
      <c r="U64" s="176">
        <f>USD!U65</f>
        <v>0.95</v>
      </c>
      <c r="V64" s="176">
        <f>USD!V65</f>
        <v>0.95</v>
      </c>
      <c r="W64" s="176">
        <f>USD!W65</f>
        <v>1</v>
      </c>
      <c r="X64" s="176">
        <f>USD!X65</f>
        <v>0.95</v>
      </c>
      <c r="Y64" s="176">
        <f>USD!Y65</f>
        <v>1</v>
      </c>
      <c r="Z64" s="176">
        <f>USD!Z65</f>
        <v>0.9</v>
      </c>
      <c r="AA64" s="176">
        <f>USD!AA65</f>
        <v>0.85</v>
      </c>
    </row>
    <row r="65" spans="15:27" ht="11.25">
      <c r="O65" s="87" t="str">
        <f>USD!O66</f>
        <v>Омская область (не включая г. Омск)</v>
      </c>
      <c r="P65" s="88">
        <f>USD!P66</f>
        <v>100</v>
      </c>
      <c r="Q65" s="88">
        <f>USD!Q66</f>
        <v>85</v>
      </c>
      <c r="R65" s="176">
        <f>USD!R66</f>
        <v>0.85</v>
      </c>
      <c r="S65" s="176">
        <f>USD!S66</f>
        <v>0.85</v>
      </c>
      <c r="T65" s="176">
        <f>USD!T66</f>
        <v>0.7</v>
      </c>
      <c r="U65" s="176">
        <f>USD!U66</f>
        <v>0.85</v>
      </c>
      <c r="V65" s="176">
        <f>USD!V66</f>
        <v>0.7</v>
      </c>
      <c r="W65" s="176">
        <f>USD!W66</f>
        <v>0.85</v>
      </c>
      <c r="X65" s="176">
        <f>USD!X66</f>
        <v>0.95</v>
      </c>
      <c r="Y65" s="176">
        <f>USD!Y66</f>
        <v>1</v>
      </c>
      <c r="Z65" s="176">
        <f>USD!Z66</f>
        <v>0.9</v>
      </c>
      <c r="AA65" s="176">
        <f>USD!AA66</f>
        <v>0.85</v>
      </c>
    </row>
    <row r="66" spans="15:27" ht="11.25">
      <c r="O66" s="87" t="str">
        <f>USD!O67</f>
        <v>г. Омск</v>
      </c>
      <c r="P66" s="88">
        <f>USD!P67</f>
        <v>100</v>
      </c>
      <c r="Q66" s="88">
        <f>USD!Q67</f>
        <v>85</v>
      </c>
      <c r="R66" s="176">
        <f>USD!R67</f>
        <v>0.9</v>
      </c>
      <c r="S66" s="176">
        <f>USD!S67</f>
        <v>0.85</v>
      </c>
      <c r="T66" s="176">
        <f>USD!T67</f>
        <v>0.7</v>
      </c>
      <c r="U66" s="176">
        <f>USD!U67</f>
        <v>0.85</v>
      </c>
      <c r="V66" s="176">
        <f>USD!V67</f>
        <v>0.7</v>
      </c>
      <c r="W66" s="176">
        <f>USD!W67</f>
        <v>0.9</v>
      </c>
      <c r="X66" s="176">
        <f>USD!X67</f>
        <v>0.95</v>
      </c>
      <c r="Y66" s="176">
        <f>USD!Y67</f>
        <v>1</v>
      </c>
      <c r="Z66" s="176">
        <f>USD!Z67</f>
        <v>0.9</v>
      </c>
      <c r="AA66" s="176">
        <f>USD!AA67</f>
        <v>0.85</v>
      </c>
    </row>
    <row r="67" spans="15:27" ht="11.25">
      <c r="O67" s="87" t="str">
        <f>USD!O68</f>
        <v>Пермский край (не включая г. Пермь)</v>
      </c>
      <c r="P67" s="88">
        <f>USD!P68</f>
        <v>100</v>
      </c>
      <c r="Q67" s="88">
        <f>USD!Q68</f>
        <v>85</v>
      </c>
      <c r="R67" s="176">
        <f>USD!R68</f>
        <v>0.85</v>
      </c>
      <c r="S67" s="176">
        <f>USD!S68</f>
        <v>0.85</v>
      </c>
      <c r="T67" s="176">
        <f>USD!T68</f>
        <v>0.7</v>
      </c>
      <c r="U67" s="176">
        <f>USD!U68</f>
        <v>0.85</v>
      </c>
      <c r="V67" s="176">
        <f>USD!V68</f>
        <v>0.7</v>
      </c>
      <c r="W67" s="176">
        <f>USD!W68</f>
        <v>0.85</v>
      </c>
      <c r="X67" s="176">
        <f>USD!X68</f>
        <v>0.95</v>
      </c>
      <c r="Y67" s="176">
        <f>USD!Y68</f>
        <v>1</v>
      </c>
      <c r="Z67" s="176">
        <f>USD!Z68</f>
        <v>0.9</v>
      </c>
      <c r="AA67" s="176">
        <f>USD!AA68</f>
        <v>0.85</v>
      </c>
    </row>
    <row r="68" spans="15:27" ht="11.25">
      <c r="O68" s="87" t="str">
        <f>USD!O69</f>
        <v>г. Пермь</v>
      </c>
      <c r="P68" s="88">
        <f>USD!P69</f>
        <v>100</v>
      </c>
      <c r="Q68" s="88">
        <f>USD!Q69</f>
        <v>85</v>
      </c>
      <c r="R68" s="176">
        <f>USD!R69</f>
        <v>0.9</v>
      </c>
      <c r="S68" s="176">
        <f>USD!S69</f>
        <v>0.85</v>
      </c>
      <c r="T68" s="176">
        <f>USD!T69</f>
        <v>0.7</v>
      </c>
      <c r="U68" s="176">
        <f>USD!U69</f>
        <v>0.85</v>
      </c>
      <c r="V68" s="176">
        <f>USD!V69</f>
        <v>0.7</v>
      </c>
      <c r="W68" s="176">
        <f>USD!W69</f>
        <v>0.9</v>
      </c>
      <c r="X68" s="176">
        <f>USD!X69</f>
        <v>0.95</v>
      </c>
      <c r="Y68" s="176">
        <f>USD!Y69</f>
        <v>1</v>
      </c>
      <c r="Z68" s="176">
        <f>USD!Z69</f>
        <v>0.9</v>
      </c>
      <c r="AA68" s="176">
        <f>USD!AA69</f>
        <v>0.85</v>
      </c>
    </row>
    <row r="69" spans="15:27" ht="11.25">
      <c r="O69" s="87" t="str">
        <f>USD!O70</f>
        <v>Приморский край (включая г. Владивосток)</v>
      </c>
      <c r="P69" s="88">
        <f>USD!P70</f>
        <v>120</v>
      </c>
      <c r="Q69" s="88">
        <f>USD!Q70</f>
        <v>100</v>
      </c>
      <c r="R69" s="176">
        <f>USD!R70</f>
        <v>0.85</v>
      </c>
      <c r="S69" s="176">
        <f>USD!S70</f>
        <v>0.85</v>
      </c>
      <c r="T69" s="176">
        <f>USD!T70</f>
        <v>0.7</v>
      </c>
      <c r="U69" s="176">
        <f>USD!U70</f>
        <v>0.85</v>
      </c>
      <c r="V69" s="176">
        <f>USD!V70</f>
        <v>0.7</v>
      </c>
      <c r="W69" s="176">
        <f>USD!W70</f>
        <v>0.85</v>
      </c>
      <c r="X69" s="176">
        <f>USD!X70</f>
        <v>0.95</v>
      </c>
      <c r="Y69" s="176">
        <f>USD!Y70</f>
        <v>1</v>
      </c>
      <c r="Z69" s="176">
        <f>USD!Z70</f>
        <v>0.9</v>
      </c>
      <c r="AA69" s="176">
        <f>USD!AA70</f>
        <v>0.85</v>
      </c>
    </row>
    <row r="70" spans="15:27" ht="11.25">
      <c r="O70" s="87" t="str">
        <f>USD!O71</f>
        <v>Республика Коми (не включая г. Сыктывкар)</v>
      </c>
      <c r="P70" s="88">
        <f>USD!P71</f>
        <v>100</v>
      </c>
      <c r="Q70" s="88">
        <f>USD!Q71</f>
        <v>85</v>
      </c>
      <c r="R70" s="176">
        <f>USD!R71</f>
        <v>0.85</v>
      </c>
      <c r="S70" s="176">
        <f>USD!S71</f>
        <v>0.85</v>
      </c>
      <c r="T70" s="176">
        <f>USD!T71</f>
        <v>0.7</v>
      </c>
      <c r="U70" s="176">
        <f>USD!U71</f>
        <v>0.85</v>
      </c>
      <c r="V70" s="176">
        <f>USD!V71</f>
        <v>0.7</v>
      </c>
      <c r="W70" s="176">
        <f>USD!W71</f>
        <v>0.85</v>
      </c>
      <c r="X70" s="176">
        <f>USD!X71</f>
        <v>0.95</v>
      </c>
      <c r="Y70" s="176">
        <f>USD!Y71</f>
        <v>1</v>
      </c>
      <c r="Z70" s="176">
        <f>USD!Z71</f>
        <v>0.9</v>
      </c>
      <c r="AA70" s="176">
        <f>USD!AA71</f>
        <v>0.85</v>
      </c>
    </row>
    <row r="71" spans="15:27" ht="11.25">
      <c r="O71" s="87" t="str">
        <f>USD!O72</f>
        <v>г. Сыктывкар</v>
      </c>
      <c r="P71" s="88">
        <f>USD!P72</f>
        <v>100</v>
      </c>
      <c r="Q71" s="88">
        <f>USD!Q72</f>
        <v>85</v>
      </c>
      <c r="R71" s="176">
        <f>USD!R72</f>
        <v>0.9</v>
      </c>
      <c r="S71" s="176">
        <f>USD!S72</f>
        <v>0.85</v>
      </c>
      <c r="T71" s="176">
        <f>USD!T72</f>
        <v>0.7</v>
      </c>
      <c r="U71" s="176">
        <f>USD!U72</f>
        <v>0.85</v>
      </c>
      <c r="V71" s="176">
        <f>USD!V72</f>
        <v>0.7</v>
      </c>
      <c r="W71" s="176">
        <f>USD!W72</f>
        <v>0.9</v>
      </c>
      <c r="X71" s="176">
        <f>USD!X72</f>
        <v>0.95</v>
      </c>
      <c r="Y71" s="176">
        <f>USD!Y72</f>
        <v>1</v>
      </c>
      <c r="Z71" s="176">
        <f>USD!Z72</f>
        <v>0.9</v>
      </c>
      <c r="AA71" s="176">
        <f>USD!AA72</f>
        <v>0.85</v>
      </c>
    </row>
    <row r="72" spans="15:27" ht="11.25">
      <c r="O72" s="87" t="str">
        <f>USD!O73</f>
        <v>Республика Марий Эл (не включая г. Йошкар-Олу)</v>
      </c>
      <c r="P72" s="88">
        <f>USD!P73</f>
        <v>100</v>
      </c>
      <c r="Q72" s="88">
        <f>USD!Q73</f>
        <v>85</v>
      </c>
      <c r="R72" s="176">
        <f>USD!R73</f>
        <v>0.85</v>
      </c>
      <c r="S72" s="176">
        <f>USD!S73</f>
        <v>0.85</v>
      </c>
      <c r="T72" s="176">
        <f>USD!T73</f>
        <v>0.7</v>
      </c>
      <c r="U72" s="176">
        <f>USD!U73</f>
        <v>0.85</v>
      </c>
      <c r="V72" s="176">
        <f>USD!V73</f>
        <v>0.7</v>
      </c>
      <c r="W72" s="176">
        <f>USD!W73</f>
        <v>0.85</v>
      </c>
      <c r="X72" s="176">
        <f>USD!X73</f>
        <v>0.95</v>
      </c>
      <c r="Y72" s="176">
        <f>USD!Y73</f>
        <v>1</v>
      </c>
      <c r="Z72" s="176">
        <f>USD!Z73</f>
        <v>0.9</v>
      </c>
      <c r="AA72" s="176">
        <f>USD!AA73</f>
        <v>0.85</v>
      </c>
    </row>
    <row r="73" spans="15:27" ht="11.25">
      <c r="O73" s="87" t="str">
        <f>USD!O74</f>
        <v>г. Йошкар-Ола</v>
      </c>
      <c r="P73" s="88">
        <f>USD!P74</f>
        <v>100</v>
      </c>
      <c r="Q73" s="88">
        <f>USD!Q74</f>
        <v>85</v>
      </c>
      <c r="R73" s="176">
        <f>USD!R74</f>
        <v>0.9</v>
      </c>
      <c r="S73" s="176">
        <f>USD!S74</f>
        <v>0.85</v>
      </c>
      <c r="T73" s="176">
        <f>USD!T74</f>
        <v>0.7</v>
      </c>
      <c r="U73" s="176">
        <f>USD!U74</f>
        <v>0.85</v>
      </c>
      <c r="V73" s="176">
        <f>USD!V74</f>
        <v>0.7</v>
      </c>
      <c r="W73" s="176">
        <f>USD!W74</f>
        <v>0.9</v>
      </c>
      <c r="X73" s="176">
        <f>USD!X74</f>
        <v>0.95</v>
      </c>
      <c r="Y73" s="176">
        <f>USD!Y74</f>
        <v>1</v>
      </c>
      <c r="Z73" s="176">
        <f>USD!Z74</f>
        <v>0.9</v>
      </c>
      <c r="AA73" s="176">
        <f>USD!AA74</f>
        <v>0.85</v>
      </c>
    </row>
    <row r="74" spans="15:27" ht="11.25">
      <c r="O74" s="87" t="str">
        <f>USD!O75</f>
        <v>Республика Саха (Якутия) (не включая г. Якутск)</v>
      </c>
      <c r="P74" s="88">
        <f>USD!P75</f>
        <v>120</v>
      </c>
      <c r="Q74" s="88">
        <f>USD!Q75</f>
        <v>100</v>
      </c>
      <c r="R74" s="176">
        <f>USD!R75</f>
        <v>0.85</v>
      </c>
      <c r="S74" s="176">
        <f>USD!S75</f>
        <v>0.85</v>
      </c>
      <c r="T74" s="176">
        <f>USD!T75</f>
        <v>0.7</v>
      </c>
      <c r="U74" s="176">
        <f>USD!U75</f>
        <v>0.85</v>
      </c>
      <c r="V74" s="176">
        <f>USD!V75</f>
        <v>0.7</v>
      </c>
      <c r="W74" s="176">
        <f>USD!W75</f>
        <v>0.85</v>
      </c>
      <c r="X74" s="176">
        <f>USD!X75</f>
        <v>0.95</v>
      </c>
      <c r="Y74" s="176">
        <f>USD!Y75</f>
        <v>1</v>
      </c>
      <c r="Z74" s="176">
        <f>USD!Z75</f>
        <v>0.9</v>
      </c>
      <c r="AA74" s="176">
        <f>USD!AA75</f>
        <v>0.85</v>
      </c>
    </row>
    <row r="75" spans="15:27" ht="11.25">
      <c r="O75" s="87" t="str">
        <f>USD!O76</f>
        <v>г. Якутск</v>
      </c>
      <c r="P75" s="88">
        <f>USD!P76</f>
        <v>120</v>
      </c>
      <c r="Q75" s="88">
        <f>USD!Q76</f>
        <v>100</v>
      </c>
      <c r="R75" s="176">
        <f>USD!R76</f>
        <v>0.9</v>
      </c>
      <c r="S75" s="176">
        <f>USD!S76</f>
        <v>0.85</v>
      </c>
      <c r="T75" s="176">
        <f>USD!T76</f>
        <v>0.7</v>
      </c>
      <c r="U75" s="176">
        <f>USD!U76</f>
        <v>0.85</v>
      </c>
      <c r="V75" s="176">
        <f>USD!V76</f>
        <v>0.7</v>
      </c>
      <c r="W75" s="176">
        <f>USD!W76</f>
        <v>0.9</v>
      </c>
      <c r="X75" s="176">
        <f>USD!X76</f>
        <v>0.95</v>
      </c>
      <c r="Y75" s="176">
        <f>USD!Y76</f>
        <v>1</v>
      </c>
      <c r="Z75" s="176">
        <f>USD!Z76</f>
        <v>0.9</v>
      </c>
      <c r="AA75" s="176">
        <f>USD!AA76</f>
        <v>0.85</v>
      </c>
    </row>
    <row r="76" spans="15:27" ht="11.25">
      <c r="O76" s="87" t="str">
        <f>USD!O77</f>
        <v>Республика Татарстан (не включая г. Казань)</v>
      </c>
      <c r="P76" s="88">
        <f>USD!P77</f>
        <v>100</v>
      </c>
      <c r="Q76" s="88">
        <f>USD!Q77</f>
        <v>85</v>
      </c>
      <c r="R76" s="176">
        <f>USD!R77</f>
        <v>0.85</v>
      </c>
      <c r="S76" s="176">
        <f>USD!S77</f>
        <v>0.85</v>
      </c>
      <c r="T76" s="176">
        <f>USD!T77</f>
        <v>0.7</v>
      </c>
      <c r="U76" s="176">
        <f>USD!U77</f>
        <v>0.85</v>
      </c>
      <c r="V76" s="176">
        <f>USD!V77</f>
        <v>0.7</v>
      </c>
      <c r="W76" s="176">
        <f>USD!W77</f>
        <v>0.85</v>
      </c>
      <c r="X76" s="176">
        <f>USD!X77</f>
        <v>0.95</v>
      </c>
      <c r="Y76" s="176">
        <f>USD!Y77</f>
        <v>1</v>
      </c>
      <c r="Z76" s="176">
        <f>USD!Z77</f>
        <v>0.9</v>
      </c>
      <c r="AA76" s="176">
        <f>USD!AA77</f>
        <v>0.85</v>
      </c>
    </row>
    <row r="77" spans="15:27" ht="11.25">
      <c r="O77" s="87" t="str">
        <f>USD!O78</f>
        <v>г. Казань</v>
      </c>
      <c r="P77" s="88">
        <f>USD!P78</f>
        <v>100</v>
      </c>
      <c r="Q77" s="88">
        <f>USD!Q78</f>
        <v>85</v>
      </c>
      <c r="R77" s="176">
        <f>USD!R78</f>
        <v>1</v>
      </c>
      <c r="S77" s="176">
        <f>USD!S78</f>
        <v>0.95</v>
      </c>
      <c r="T77" s="176">
        <f>USD!T78</f>
        <v>0.9</v>
      </c>
      <c r="U77" s="176">
        <f>USD!U78</f>
        <v>0.95</v>
      </c>
      <c r="V77" s="176">
        <f>USD!V78</f>
        <v>0.95</v>
      </c>
      <c r="W77" s="176">
        <f>USD!W78</f>
        <v>1</v>
      </c>
      <c r="X77" s="176">
        <f>USD!X78</f>
        <v>0.95</v>
      </c>
      <c r="Y77" s="176">
        <f>USD!Y78</f>
        <v>1</v>
      </c>
      <c r="Z77" s="176">
        <f>USD!Z78</f>
        <v>0.9</v>
      </c>
      <c r="AA77" s="176">
        <f>USD!AA78</f>
        <v>0.85</v>
      </c>
    </row>
    <row r="78" spans="15:27" ht="11.25">
      <c r="O78" s="87" t="str">
        <f>USD!O79</f>
        <v>Ростовская область (не включая г. Ростов-на-Дону)</v>
      </c>
      <c r="P78" s="88">
        <f>USD!P79</f>
        <v>100</v>
      </c>
      <c r="Q78" s="88">
        <f>USD!Q79</f>
        <v>85</v>
      </c>
      <c r="R78" s="176">
        <f>USD!R79</f>
        <v>0.85</v>
      </c>
      <c r="S78" s="176">
        <f>USD!S79</f>
        <v>0.85</v>
      </c>
      <c r="T78" s="176">
        <f>USD!T79</f>
        <v>0.7</v>
      </c>
      <c r="U78" s="176">
        <f>USD!U79</f>
        <v>0.85</v>
      </c>
      <c r="V78" s="176">
        <f>USD!V79</f>
        <v>0.7</v>
      </c>
      <c r="W78" s="176">
        <f>USD!W79</f>
        <v>0.85</v>
      </c>
      <c r="X78" s="176">
        <f>USD!X79</f>
        <v>0.95</v>
      </c>
      <c r="Y78" s="176">
        <f>USD!Y79</f>
        <v>1</v>
      </c>
      <c r="Z78" s="176">
        <f>USD!Z79</f>
        <v>0.9</v>
      </c>
      <c r="AA78" s="176">
        <f>USD!AA79</f>
        <v>0.85</v>
      </c>
    </row>
    <row r="79" spans="15:27" ht="11.25">
      <c r="O79" s="87" t="str">
        <f>USD!O80</f>
        <v>г. Ростов-на-Дону</v>
      </c>
      <c r="P79" s="88">
        <f>USD!P80</f>
        <v>100</v>
      </c>
      <c r="Q79" s="88">
        <f>USD!Q80</f>
        <v>85</v>
      </c>
      <c r="R79" s="176">
        <f>USD!R80</f>
        <v>0.95</v>
      </c>
      <c r="S79" s="176">
        <f>USD!S80</f>
        <v>0.95</v>
      </c>
      <c r="T79" s="176">
        <f>USD!T80</f>
        <v>0.9</v>
      </c>
      <c r="U79" s="176">
        <f>USD!U80</f>
        <v>0.95</v>
      </c>
      <c r="V79" s="176">
        <f>USD!V80</f>
        <v>0.95</v>
      </c>
      <c r="W79" s="176">
        <f>USD!W80</f>
        <v>0.95</v>
      </c>
      <c r="X79" s="176">
        <f>USD!X80</f>
        <v>0.95</v>
      </c>
      <c r="Y79" s="176">
        <f>USD!Y80</f>
        <v>1</v>
      </c>
      <c r="Z79" s="176">
        <f>USD!Z80</f>
        <v>0.9</v>
      </c>
      <c r="AA79" s="176">
        <f>USD!AA80</f>
        <v>0.85</v>
      </c>
    </row>
    <row r="80" spans="15:27" ht="11.25">
      <c r="O80" s="87" t="str">
        <f>USD!O81</f>
        <v>Самарская область (не включая г. Самара и г. Тольятти)</v>
      </c>
      <c r="P80" s="88">
        <f>USD!P81</f>
        <v>100</v>
      </c>
      <c r="Q80" s="88">
        <f>USD!Q81</f>
        <v>85</v>
      </c>
      <c r="R80" s="176">
        <f>USD!R81</f>
        <v>0.85</v>
      </c>
      <c r="S80" s="176">
        <f>USD!S81</f>
        <v>0.85</v>
      </c>
      <c r="T80" s="176">
        <f>USD!T81</f>
        <v>0.7</v>
      </c>
      <c r="U80" s="176">
        <f>USD!U81</f>
        <v>0.85</v>
      </c>
      <c r="V80" s="176">
        <f>USD!V81</f>
        <v>0.7</v>
      </c>
      <c r="W80" s="176">
        <f>USD!W81</f>
        <v>0.85</v>
      </c>
      <c r="X80" s="176">
        <f>USD!X81</f>
        <v>0.95</v>
      </c>
      <c r="Y80" s="176">
        <f>USD!Y81</f>
        <v>1</v>
      </c>
      <c r="Z80" s="176">
        <f>USD!Z81</f>
        <v>0.9</v>
      </c>
      <c r="AA80" s="176">
        <f>USD!AA81</f>
        <v>0.85</v>
      </c>
    </row>
    <row r="81" spans="15:27" ht="11.25">
      <c r="O81" s="87" t="str">
        <f>USD!O82</f>
        <v>г. Самара</v>
      </c>
      <c r="P81" s="88">
        <f>USD!P82</f>
        <v>100</v>
      </c>
      <c r="Q81" s="88">
        <f>USD!Q82</f>
        <v>85</v>
      </c>
      <c r="R81" s="176">
        <f>USD!R82</f>
        <v>1</v>
      </c>
      <c r="S81" s="176">
        <f>USD!S82</f>
        <v>0.95</v>
      </c>
      <c r="T81" s="176">
        <f>USD!T82</f>
        <v>0.9</v>
      </c>
      <c r="U81" s="176">
        <f>USD!U82</f>
        <v>0.95</v>
      </c>
      <c r="V81" s="176">
        <f>USD!V82</f>
        <v>0.95</v>
      </c>
      <c r="W81" s="176">
        <f>USD!W82</f>
        <v>1</v>
      </c>
      <c r="X81" s="176">
        <f>USD!X82</f>
        <v>0.95</v>
      </c>
      <c r="Y81" s="176">
        <f>USD!Y82</f>
        <v>1</v>
      </c>
      <c r="Z81" s="176">
        <f>USD!Z82</f>
        <v>0.9</v>
      </c>
      <c r="AA81" s="176">
        <f>USD!AA82</f>
        <v>0.85</v>
      </c>
    </row>
    <row r="82" spans="15:27" ht="11.25">
      <c r="O82" s="87" t="str">
        <f>USD!O83</f>
        <v>г. Тольятти</v>
      </c>
      <c r="P82" s="88">
        <f>USD!P83</f>
        <v>100</v>
      </c>
      <c r="Q82" s="88">
        <f>USD!Q83</f>
        <v>85</v>
      </c>
      <c r="R82" s="176">
        <f>USD!R83</f>
        <v>0.9</v>
      </c>
      <c r="S82" s="176">
        <f>USD!S83</f>
        <v>0.85</v>
      </c>
      <c r="T82" s="176">
        <f>USD!T83</f>
        <v>0.7</v>
      </c>
      <c r="U82" s="176">
        <f>USD!U83</f>
        <v>0.85</v>
      </c>
      <c r="V82" s="176">
        <f>USD!V83</f>
        <v>0.7</v>
      </c>
      <c r="W82" s="176">
        <f>USD!W83</f>
        <v>0.9</v>
      </c>
      <c r="X82" s="176">
        <f>USD!X83</f>
        <v>0.95</v>
      </c>
      <c r="Y82" s="176">
        <f>USD!Y83</f>
        <v>1</v>
      </c>
      <c r="Z82" s="176">
        <f>USD!Z83</f>
        <v>0.9</v>
      </c>
      <c r="AA82" s="176">
        <f>USD!AA83</f>
        <v>0.85</v>
      </c>
    </row>
    <row r="83" spans="15:27" ht="11.25">
      <c r="O83" s="87" t="str">
        <f>USD!O84</f>
        <v>Саратовская область (включая г. Саратов)</v>
      </c>
      <c r="P83" s="88">
        <f>USD!P84</f>
        <v>100</v>
      </c>
      <c r="Q83" s="88">
        <f>USD!Q84</f>
        <v>85</v>
      </c>
      <c r="R83" s="176">
        <f>USD!R84</f>
        <v>0.85</v>
      </c>
      <c r="S83" s="176">
        <f>USD!S84</f>
        <v>0.85</v>
      </c>
      <c r="T83" s="176">
        <f>USD!T84</f>
        <v>0.7</v>
      </c>
      <c r="U83" s="176">
        <f>USD!U84</f>
        <v>0.85</v>
      </c>
      <c r="V83" s="176">
        <f>USD!V84</f>
        <v>0.7</v>
      </c>
      <c r="W83" s="176">
        <f>USD!W84</f>
        <v>0.85</v>
      </c>
      <c r="X83" s="176">
        <f>USD!X84</f>
        <v>0.95</v>
      </c>
      <c r="Y83" s="176">
        <f>USD!Y84</f>
        <v>1</v>
      </c>
      <c r="Z83" s="176">
        <f>USD!Z84</f>
        <v>0.9</v>
      </c>
      <c r="AA83" s="176">
        <f>USD!AA84</f>
        <v>0.85</v>
      </c>
    </row>
    <row r="84" spans="15:27" ht="11.25">
      <c r="O84" s="87" t="str">
        <f>USD!O85</f>
        <v>Свердловская область (не включая г. Екатеринбург)</v>
      </c>
      <c r="P84" s="88">
        <f>USD!P85</f>
        <v>100</v>
      </c>
      <c r="Q84" s="88">
        <f>USD!Q85</f>
        <v>85</v>
      </c>
      <c r="R84" s="176">
        <f>USD!R85</f>
        <v>0.85</v>
      </c>
      <c r="S84" s="176">
        <f>USD!S85</f>
        <v>0.85</v>
      </c>
      <c r="T84" s="176">
        <f>USD!T85</f>
        <v>0.7</v>
      </c>
      <c r="U84" s="176">
        <f>USD!U85</f>
        <v>0.85</v>
      </c>
      <c r="V84" s="176">
        <f>USD!V85</f>
        <v>0.7</v>
      </c>
      <c r="W84" s="176">
        <f>USD!W85</f>
        <v>0.85</v>
      </c>
      <c r="X84" s="176">
        <f>USD!X85</f>
        <v>0.95</v>
      </c>
      <c r="Y84" s="176">
        <f>USD!Y85</f>
        <v>1</v>
      </c>
      <c r="Z84" s="176">
        <f>USD!Z85</f>
        <v>0.9</v>
      </c>
      <c r="AA84" s="176">
        <f>USD!AA85</f>
        <v>0.85</v>
      </c>
    </row>
    <row r="85" spans="15:27" ht="11.25">
      <c r="O85" s="87" t="str">
        <f>USD!O86</f>
        <v>г. Екатеринбург</v>
      </c>
      <c r="P85" s="88">
        <f>USD!P86</f>
        <v>100</v>
      </c>
      <c r="Q85" s="88">
        <f>USD!Q86</f>
        <v>85</v>
      </c>
      <c r="R85" s="176">
        <f>USD!R86</f>
        <v>1</v>
      </c>
      <c r="S85" s="176">
        <f>USD!S86</f>
        <v>0.95</v>
      </c>
      <c r="T85" s="176">
        <f>USD!T86</f>
        <v>0.9</v>
      </c>
      <c r="U85" s="176">
        <f>USD!U86</f>
        <v>0.95</v>
      </c>
      <c r="V85" s="176">
        <f>USD!V86</f>
        <v>0.95</v>
      </c>
      <c r="W85" s="176">
        <f>USD!W86</f>
        <v>1</v>
      </c>
      <c r="X85" s="176">
        <f>USD!X86</f>
        <v>0.95</v>
      </c>
      <c r="Y85" s="176">
        <f>USD!Y86</f>
        <v>1</v>
      </c>
      <c r="Z85" s="176">
        <f>USD!Z86</f>
        <v>0.9</v>
      </c>
      <c r="AA85" s="176">
        <f>USD!AA86</f>
        <v>0.85</v>
      </c>
    </row>
    <row r="86" spans="15:27" ht="11.25">
      <c r="O86" s="87" t="str">
        <f>USD!O87</f>
        <v>Смоленская область (не включая г. Смоленск)</v>
      </c>
      <c r="P86" s="88">
        <f>USD!P87</f>
        <v>100</v>
      </c>
      <c r="Q86" s="88">
        <f>USD!Q87</f>
        <v>85</v>
      </c>
      <c r="R86" s="176">
        <f>USD!R87</f>
        <v>0.85</v>
      </c>
      <c r="S86" s="176">
        <f>USD!S87</f>
        <v>0.85</v>
      </c>
      <c r="T86" s="176">
        <f>USD!T87</f>
        <v>0.7</v>
      </c>
      <c r="U86" s="176">
        <f>USD!U87</f>
        <v>0.85</v>
      </c>
      <c r="V86" s="176">
        <f>USD!V87</f>
        <v>0.7</v>
      </c>
      <c r="W86" s="176">
        <f>USD!W87</f>
        <v>0.85</v>
      </c>
      <c r="X86" s="176">
        <f>USD!X87</f>
        <v>0.95</v>
      </c>
      <c r="Y86" s="176">
        <f>USD!Y87</f>
        <v>1</v>
      </c>
      <c r="Z86" s="176">
        <f>USD!Z87</f>
        <v>0.9</v>
      </c>
      <c r="AA86" s="176">
        <f>USD!AA87</f>
        <v>0.85</v>
      </c>
    </row>
    <row r="87" spans="15:27" ht="11.25">
      <c r="O87" s="87" t="str">
        <f>USD!O88</f>
        <v>г. Смоленск</v>
      </c>
      <c r="P87" s="88">
        <f>USD!P88</f>
        <v>100</v>
      </c>
      <c r="Q87" s="88">
        <f>USD!Q88</f>
        <v>85</v>
      </c>
      <c r="R87" s="176">
        <f>USD!R88</f>
        <v>0.9</v>
      </c>
      <c r="S87" s="176">
        <f>USD!S88</f>
        <v>0.85</v>
      </c>
      <c r="T87" s="176">
        <f>USD!T88</f>
        <v>0.7</v>
      </c>
      <c r="U87" s="176">
        <f>USD!U88</f>
        <v>0.85</v>
      </c>
      <c r="V87" s="176">
        <f>USD!V88</f>
        <v>0.7</v>
      </c>
      <c r="W87" s="176">
        <f>USD!W88</f>
        <v>0.9</v>
      </c>
      <c r="X87" s="176">
        <f>USD!X88</f>
        <v>0.95</v>
      </c>
      <c r="Y87" s="176">
        <f>USD!Y88</f>
        <v>1</v>
      </c>
      <c r="Z87" s="176">
        <f>USD!Z88</f>
        <v>0.9</v>
      </c>
      <c r="AA87" s="176">
        <f>USD!AA88</f>
        <v>0.85</v>
      </c>
    </row>
    <row r="88" spans="15:27" ht="11.25">
      <c r="O88" s="87" t="str">
        <f>USD!O89</f>
        <v>Тульская область (не включая г. Тула и г. Новомосковск)</v>
      </c>
      <c r="P88" s="88">
        <f>USD!P89</f>
        <v>100</v>
      </c>
      <c r="Q88" s="88">
        <f>USD!Q89</f>
        <v>85</v>
      </c>
      <c r="R88" s="176">
        <f>USD!R89</f>
        <v>0.85</v>
      </c>
      <c r="S88" s="176">
        <f>USD!S89</f>
        <v>0.85</v>
      </c>
      <c r="T88" s="176">
        <f>USD!T89</f>
        <v>0.7</v>
      </c>
      <c r="U88" s="176">
        <f>USD!U89</f>
        <v>0.85</v>
      </c>
      <c r="V88" s="176">
        <f>USD!V89</f>
        <v>0.7</v>
      </c>
      <c r="W88" s="176">
        <f>USD!W89</f>
        <v>0.85</v>
      </c>
      <c r="X88" s="176">
        <f>USD!X89</f>
        <v>0.95</v>
      </c>
      <c r="Y88" s="176">
        <f>USD!Y89</f>
        <v>1</v>
      </c>
      <c r="Z88" s="176">
        <f>USD!Z89</f>
        <v>0.9</v>
      </c>
      <c r="AA88" s="176">
        <f>USD!AA89</f>
        <v>0.85</v>
      </c>
    </row>
    <row r="89" spans="15:27" ht="11.25">
      <c r="O89" s="87" t="str">
        <f>USD!O90</f>
        <v>г. Тула</v>
      </c>
      <c r="P89" s="88">
        <f>USD!P90</f>
        <v>100</v>
      </c>
      <c r="Q89" s="88">
        <f>USD!Q90</f>
        <v>85</v>
      </c>
      <c r="R89" s="176">
        <f>USD!R90</f>
        <v>0.9</v>
      </c>
      <c r="S89" s="176">
        <f>USD!S90</f>
        <v>0.85</v>
      </c>
      <c r="T89" s="176">
        <f>USD!T90</f>
        <v>0.7</v>
      </c>
      <c r="U89" s="176">
        <f>USD!U90</f>
        <v>0.85</v>
      </c>
      <c r="V89" s="176">
        <f>USD!V90</f>
        <v>0.7</v>
      </c>
      <c r="W89" s="176">
        <f>USD!W90</f>
        <v>0.9</v>
      </c>
      <c r="X89" s="176">
        <f>USD!X90</f>
        <v>0.95</v>
      </c>
      <c r="Y89" s="176">
        <f>USD!Y90</f>
        <v>1</v>
      </c>
      <c r="Z89" s="176">
        <f>USD!Z90</f>
        <v>0.9</v>
      </c>
      <c r="AA89" s="176">
        <f>USD!AA90</f>
        <v>0.85</v>
      </c>
    </row>
    <row r="90" spans="15:27" ht="11.25">
      <c r="O90" s="87" t="str">
        <f>USD!O91</f>
        <v>г. Новомосковск</v>
      </c>
      <c r="P90" s="88">
        <f>USD!P91</f>
        <v>100</v>
      </c>
      <c r="Q90" s="88">
        <f>USD!Q91</f>
        <v>85</v>
      </c>
      <c r="R90" s="176">
        <f>USD!R91</f>
        <v>0.9</v>
      </c>
      <c r="S90" s="176">
        <f>USD!S91</f>
        <v>0.85</v>
      </c>
      <c r="T90" s="176">
        <f>USD!T91</f>
        <v>0.7</v>
      </c>
      <c r="U90" s="176">
        <f>USD!U91</f>
        <v>0.85</v>
      </c>
      <c r="V90" s="176">
        <f>USD!V91</f>
        <v>0.7</v>
      </c>
      <c r="W90" s="176">
        <f>USD!W91</f>
        <v>0.9</v>
      </c>
      <c r="X90" s="176">
        <f>USD!X91</f>
        <v>0.95</v>
      </c>
      <c r="Y90" s="176">
        <f>USD!Y91</f>
        <v>1</v>
      </c>
      <c r="Z90" s="176">
        <f>USD!Z91</f>
        <v>0.9</v>
      </c>
      <c r="AA90" s="176">
        <f>USD!AA91</f>
        <v>0.85</v>
      </c>
    </row>
    <row r="91" spans="15:27" ht="11.25">
      <c r="O91" s="87" t="str">
        <f>USD!O92</f>
        <v>Тверская область (включая г. Тверь)</v>
      </c>
      <c r="P91" s="88">
        <f>USD!P92</f>
        <v>100</v>
      </c>
      <c r="Q91" s="88">
        <f>USD!Q92</f>
        <v>85</v>
      </c>
      <c r="R91" s="176">
        <f>USD!R92</f>
        <v>0.85</v>
      </c>
      <c r="S91" s="176">
        <f>USD!S92</f>
        <v>0.85</v>
      </c>
      <c r="T91" s="176">
        <f>USD!T92</f>
        <v>0.7</v>
      </c>
      <c r="U91" s="176">
        <f>USD!U92</f>
        <v>0.85</v>
      </c>
      <c r="V91" s="176">
        <f>USD!V92</f>
        <v>0.7</v>
      </c>
      <c r="W91" s="176">
        <f>USD!W92</f>
        <v>0.85</v>
      </c>
      <c r="X91" s="176">
        <f>USD!X92</f>
        <v>0.95</v>
      </c>
      <c r="Y91" s="176">
        <f>USD!Y92</f>
        <v>1</v>
      </c>
      <c r="Z91" s="176">
        <f>USD!Z92</f>
        <v>0.9</v>
      </c>
      <c r="AA91" s="176">
        <f>USD!AA92</f>
        <v>0.85</v>
      </c>
    </row>
    <row r="92" spans="15:27" ht="11.25">
      <c r="O92" s="87" t="str">
        <f>USD!O93</f>
        <v>Томская область (не включая г. Томск)</v>
      </c>
      <c r="P92" s="88">
        <f>USD!P93</f>
        <v>100</v>
      </c>
      <c r="Q92" s="88">
        <f>USD!Q93</f>
        <v>85</v>
      </c>
      <c r="R92" s="176">
        <f>USD!R93</f>
        <v>0.85</v>
      </c>
      <c r="S92" s="176">
        <f>USD!S93</f>
        <v>0.85</v>
      </c>
      <c r="T92" s="176">
        <f>USD!T93</f>
        <v>0.7</v>
      </c>
      <c r="U92" s="176">
        <f>USD!U93</f>
        <v>0.85</v>
      </c>
      <c r="V92" s="176">
        <f>USD!V93</f>
        <v>0.7</v>
      </c>
      <c r="W92" s="176">
        <f>USD!W93</f>
        <v>0.85</v>
      </c>
      <c r="X92" s="176">
        <f>USD!X93</f>
        <v>0.95</v>
      </c>
      <c r="Y92" s="176">
        <f>USD!Y93</f>
        <v>1</v>
      </c>
      <c r="Z92" s="176">
        <f>USD!Z93</f>
        <v>0.9</v>
      </c>
      <c r="AA92" s="176">
        <f>USD!AA93</f>
        <v>0.85</v>
      </c>
    </row>
    <row r="93" spans="15:27" ht="11.25">
      <c r="O93" s="87" t="str">
        <f>USD!O94</f>
        <v>г. Томск</v>
      </c>
      <c r="P93" s="88">
        <f>USD!P94</f>
        <v>100</v>
      </c>
      <c r="Q93" s="88">
        <f>USD!Q94</f>
        <v>85</v>
      </c>
      <c r="R93" s="176">
        <f>USD!R94</f>
        <v>0.9</v>
      </c>
      <c r="S93" s="176">
        <f>USD!S94</f>
        <v>0.85</v>
      </c>
      <c r="T93" s="176">
        <f>USD!T94</f>
        <v>0.7</v>
      </c>
      <c r="U93" s="176">
        <f>USD!U94</f>
        <v>0.85</v>
      </c>
      <c r="V93" s="176">
        <f>USD!V94</f>
        <v>0.7</v>
      </c>
      <c r="W93" s="176">
        <f>USD!W94</f>
        <v>0.9</v>
      </c>
      <c r="X93" s="176">
        <f>USD!X94</f>
        <v>0.95</v>
      </c>
      <c r="Y93" s="176">
        <f>USD!Y94</f>
        <v>1</v>
      </c>
      <c r="Z93" s="176">
        <f>USD!Z94</f>
        <v>0.9</v>
      </c>
      <c r="AA93" s="176">
        <f>USD!AA94</f>
        <v>0.85</v>
      </c>
    </row>
    <row r="94" spans="15:27" ht="11.25">
      <c r="O94" s="87" t="str">
        <f>USD!O95</f>
        <v>Тюменская область (не включая г. Тюмень)</v>
      </c>
      <c r="P94" s="88">
        <f>USD!P95</f>
        <v>100</v>
      </c>
      <c r="Q94" s="88">
        <f>USD!Q95</f>
        <v>85</v>
      </c>
      <c r="R94" s="176">
        <f>USD!R95</f>
        <v>0.85</v>
      </c>
      <c r="S94" s="176">
        <f>USD!S95</f>
        <v>0.85</v>
      </c>
      <c r="T94" s="176">
        <f>USD!T95</f>
        <v>0.7</v>
      </c>
      <c r="U94" s="176">
        <f>USD!U95</f>
        <v>0.85</v>
      </c>
      <c r="V94" s="176">
        <f>USD!V95</f>
        <v>0.7</v>
      </c>
      <c r="W94" s="176">
        <f>USD!W95</f>
        <v>0.85</v>
      </c>
      <c r="X94" s="176">
        <f>USD!X95</f>
        <v>0.95</v>
      </c>
      <c r="Y94" s="176">
        <f>USD!Y95</f>
        <v>1</v>
      </c>
      <c r="Z94" s="176">
        <f>USD!Z95</f>
        <v>0.9</v>
      </c>
      <c r="AA94" s="176">
        <f>USD!AA95</f>
        <v>0.85</v>
      </c>
    </row>
    <row r="95" spans="15:27" ht="11.25">
      <c r="O95" s="87" t="str">
        <f>USD!O96</f>
        <v>г. Тюмень</v>
      </c>
      <c r="P95" s="88">
        <f>USD!P96</f>
        <v>100</v>
      </c>
      <c r="Q95" s="88">
        <f>USD!Q96</f>
        <v>85</v>
      </c>
      <c r="R95" s="176">
        <f>USD!R96</f>
        <v>0.95</v>
      </c>
      <c r="S95" s="176">
        <f>USD!S96</f>
        <v>0.95</v>
      </c>
      <c r="T95" s="176">
        <f>USD!T96</f>
        <v>0.9</v>
      </c>
      <c r="U95" s="176">
        <f>USD!U96</f>
        <v>0.95</v>
      </c>
      <c r="V95" s="176">
        <f>USD!V96</f>
        <v>0.95</v>
      </c>
      <c r="W95" s="176">
        <f>USD!W96</f>
        <v>0.95</v>
      </c>
      <c r="X95" s="176">
        <f>USD!X96</f>
        <v>0.95</v>
      </c>
      <c r="Y95" s="176">
        <f>USD!Y96</f>
        <v>1</v>
      </c>
      <c r="Z95" s="176">
        <f>USD!Z96</f>
        <v>0.9</v>
      </c>
      <c r="AA95" s="176">
        <f>USD!AA96</f>
        <v>0.85</v>
      </c>
    </row>
    <row r="96" spans="15:27" ht="11.25">
      <c r="O96" s="87" t="str">
        <f>USD!O97</f>
        <v>Ульяновская область (не включая г. Ульяновск)</v>
      </c>
      <c r="P96" s="88">
        <f>USD!P97</f>
        <v>100</v>
      </c>
      <c r="Q96" s="88">
        <f>USD!Q97</f>
        <v>85</v>
      </c>
      <c r="R96" s="176">
        <f>USD!R97</f>
        <v>0.85</v>
      </c>
      <c r="S96" s="176">
        <f>USD!S97</f>
        <v>0.85</v>
      </c>
      <c r="T96" s="176">
        <f>USD!T97</f>
        <v>0.7</v>
      </c>
      <c r="U96" s="176">
        <f>USD!U97</f>
        <v>0.85</v>
      </c>
      <c r="V96" s="176">
        <f>USD!V97</f>
        <v>0.7</v>
      </c>
      <c r="W96" s="176">
        <f>USD!W97</f>
        <v>0.85</v>
      </c>
      <c r="X96" s="176">
        <f>USD!X97</f>
        <v>0.95</v>
      </c>
      <c r="Y96" s="176">
        <f>USD!Y97</f>
        <v>1</v>
      </c>
      <c r="Z96" s="176">
        <f>USD!Z97</f>
        <v>0.9</v>
      </c>
      <c r="AA96" s="176">
        <f>USD!AA97</f>
        <v>0.85</v>
      </c>
    </row>
    <row r="97" spans="15:27" ht="11.25">
      <c r="O97" s="87" t="str">
        <f>USD!O98</f>
        <v>г. Ульяновск</v>
      </c>
      <c r="P97" s="88">
        <f>USD!P98</f>
        <v>100</v>
      </c>
      <c r="Q97" s="88">
        <f>USD!Q98</f>
        <v>85</v>
      </c>
      <c r="R97" s="176">
        <f>USD!R98</f>
        <v>0.9</v>
      </c>
      <c r="S97" s="176">
        <f>USD!S98</f>
        <v>0.85</v>
      </c>
      <c r="T97" s="176">
        <f>USD!T98</f>
        <v>0.7</v>
      </c>
      <c r="U97" s="176">
        <f>USD!U98</f>
        <v>0.85</v>
      </c>
      <c r="V97" s="176">
        <f>USD!V98</f>
        <v>0.7</v>
      </c>
      <c r="W97" s="176">
        <f>USD!W98</f>
        <v>0.9</v>
      </c>
      <c r="X97" s="176">
        <f>USD!X98</f>
        <v>0.95</v>
      </c>
      <c r="Y97" s="176">
        <f>USD!Y98</f>
        <v>1</v>
      </c>
      <c r="Z97" s="176">
        <f>USD!Z98</f>
        <v>0.9</v>
      </c>
      <c r="AA97" s="176">
        <f>USD!AA98</f>
        <v>0.85</v>
      </c>
    </row>
    <row r="98" spans="15:27" ht="11.25">
      <c r="O98" s="87" t="str">
        <f>USD!O99</f>
        <v>Хабаровский край (не включая г. Хабаровск)</v>
      </c>
      <c r="P98" s="88">
        <f>USD!P99</f>
        <v>120</v>
      </c>
      <c r="Q98" s="88">
        <f>USD!Q99</f>
        <v>100</v>
      </c>
      <c r="R98" s="176">
        <f>USD!R99</f>
        <v>0.85</v>
      </c>
      <c r="S98" s="176">
        <f>USD!S99</f>
        <v>0.85</v>
      </c>
      <c r="T98" s="176">
        <f>USD!T99</f>
        <v>0.7</v>
      </c>
      <c r="U98" s="176">
        <f>USD!U99</f>
        <v>0.85</v>
      </c>
      <c r="V98" s="176">
        <f>USD!V99</f>
        <v>0.7</v>
      </c>
      <c r="W98" s="176">
        <f>USD!W99</f>
        <v>0.85</v>
      </c>
      <c r="X98" s="176">
        <f>USD!X99</f>
        <v>0.95</v>
      </c>
      <c r="Y98" s="176">
        <f>USD!Y99</f>
        <v>1</v>
      </c>
      <c r="Z98" s="176">
        <f>USD!Z99</f>
        <v>0.9</v>
      </c>
      <c r="AA98" s="176">
        <f>USD!AA99</f>
        <v>0.85</v>
      </c>
    </row>
    <row r="99" spans="15:27" ht="11.25">
      <c r="O99" s="87" t="str">
        <f>USD!O100</f>
        <v>г. Хабаровск</v>
      </c>
      <c r="P99" s="88">
        <f>USD!P100</f>
        <v>120</v>
      </c>
      <c r="Q99" s="88">
        <f>USD!Q100</f>
        <v>100</v>
      </c>
      <c r="R99" s="176">
        <f>USD!R100</f>
        <v>0.95</v>
      </c>
      <c r="S99" s="176">
        <f>USD!S100</f>
        <v>0.95</v>
      </c>
      <c r="T99" s="176">
        <f>USD!T100</f>
        <v>0.9</v>
      </c>
      <c r="U99" s="176">
        <f>USD!U100</f>
        <v>0.95</v>
      </c>
      <c r="V99" s="176">
        <f>USD!V100</f>
        <v>0.95</v>
      </c>
      <c r="W99" s="176">
        <f>USD!W100</f>
        <v>0.95</v>
      </c>
      <c r="X99" s="176">
        <f>USD!X100</f>
        <v>0.95</v>
      </c>
      <c r="Y99" s="176">
        <f>USD!Y100</f>
        <v>1</v>
      </c>
      <c r="Z99" s="176">
        <f>USD!Z100</f>
        <v>0.9</v>
      </c>
      <c r="AA99" s="176">
        <f>USD!AA100</f>
        <v>0.85</v>
      </c>
    </row>
    <row r="100" spans="15:27" ht="11.25">
      <c r="O100" s="87" t="str">
        <f>USD!O101</f>
        <v>Челябинская область (не включая г. Челябинск)</v>
      </c>
      <c r="P100" s="88">
        <f>USD!P101</f>
        <v>100</v>
      </c>
      <c r="Q100" s="88">
        <f>USD!Q101</f>
        <v>85</v>
      </c>
      <c r="R100" s="176">
        <f>USD!R101</f>
        <v>0.85</v>
      </c>
      <c r="S100" s="176">
        <f>USD!S101</f>
        <v>0.85</v>
      </c>
      <c r="T100" s="176">
        <f>USD!T101</f>
        <v>0.7</v>
      </c>
      <c r="U100" s="176">
        <f>USD!U101</f>
        <v>0.85</v>
      </c>
      <c r="V100" s="176">
        <f>USD!V101</f>
        <v>0.7</v>
      </c>
      <c r="W100" s="176">
        <f>USD!W101</f>
        <v>0.85</v>
      </c>
      <c r="X100" s="176">
        <f>USD!X101</f>
        <v>0.95</v>
      </c>
      <c r="Y100" s="176">
        <f>USD!Y101</f>
        <v>1</v>
      </c>
      <c r="Z100" s="176">
        <f>USD!Z101</f>
        <v>0.9</v>
      </c>
      <c r="AA100" s="176">
        <f>USD!AA101</f>
        <v>0.85</v>
      </c>
    </row>
    <row r="101" spans="15:27" ht="11.25">
      <c r="O101" s="87" t="str">
        <f>USD!O102</f>
        <v>г. Челябинск</v>
      </c>
      <c r="P101" s="88">
        <f>USD!P102</f>
        <v>100</v>
      </c>
      <c r="Q101" s="88">
        <f>USD!Q102</f>
        <v>85</v>
      </c>
      <c r="R101" s="176">
        <f>USD!R102</f>
        <v>0.9</v>
      </c>
      <c r="S101" s="176">
        <f>USD!S102</f>
        <v>0.85</v>
      </c>
      <c r="T101" s="176">
        <f>USD!T102</f>
        <v>0.7</v>
      </c>
      <c r="U101" s="176">
        <f>USD!U102</f>
        <v>0.85</v>
      </c>
      <c r="V101" s="176">
        <f>USD!V102</f>
        <v>0.7</v>
      </c>
      <c r="W101" s="176">
        <f>USD!W102</f>
        <v>0.9</v>
      </c>
      <c r="X101" s="176">
        <f>USD!X102</f>
        <v>0.95</v>
      </c>
      <c r="Y101" s="176">
        <f>USD!Y102</f>
        <v>1</v>
      </c>
      <c r="Z101" s="176">
        <f>USD!Z102</f>
        <v>0.9</v>
      </c>
      <c r="AA101" s="176">
        <f>USD!AA102</f>
        <v>0.85</v>
      </c>
    </row>
    <row r="102" spans="15:27" ht="11.25">
      <c r="O102" s="87" t="str">
        <f>USD!O103</f>
        <v>Чувашская республика (включая г. Чебоксары)</v>
      </c>
      <c r="P102" s="88">
        <f>USD!P103</f>
        <v>100</v>
      </c>
      <c r="Q102" s="88">
        <f>USD!Q103</f>
        <v>85</v>
      </c>
      <c r="R102" s="176">
        <f>USD!R103</f>
        <v>0.85</v>
      </c>
      <c r="S102" s="176">
        <f>USD!S103</f>
        <v>0.85</v>
      </c>
      <c r="T102" s="176">
        <f>USD!T103</f>
        <v>0.7</v>
      </c>
      <c r="U102" s="176">
        <f>USD!U103</f>
        <v>0.85</v>
      </c>
      <c r="V102" s="176">
        <f>USD!V103</f>
        <v>0.7</v>
      </c>
      <c r="W102" s="176">
        <f>USD!W103</f>
        <v>0.85</v>
      </c>
      <c r="X102" s="176">
        <f>USD!X103</f>
        <v>0.95</v>
      </c>
      <c r="Y102" s="176">
        <f>USD!Y103</f>
        <v>1</v>
      </c>
      <c r="Z102" s="176">
        <f>USD!Z103</f>
        <v>0.9</v>
      </c>
      <c r="AA102" s="176">
        <f>USD!AA103</f>
        <v>0.85</v>
      </c>
    </row>
    <row r="103" spans="15:27" ht="11.25">
      <c r="O103" s="87" t="str">
        <f>USD!O104</f>
        <v>Ярославская область (не включая г. Ярославль)</v>
      </c>
      <c r="P103" s="88">
        <f>USD!P104</f>
        <v>100</v>
      </c>
      <c r="Q103" s="88">
        <f>USD!Q104</f>
        <v>85</v>
      </c>
      <c r="R103" s="176">
        <f>USD!R104</f>
        <v>0.85</v>
      </c>
      <c r="S103" s="176">
        <f>USD!S104</f>
        <v>0.85</v>
      </c>
      <c r="T103" s="176">
        <f>USD!T104</f>
        <v>0.7</v>
      </c>
      <c r="U103" s="176">
        <f>USD!U104</f>
        <v>0.85</v>
      </c>
      <c r="V103" s="176">
        <f>USD!V104</f>
        <v>0.7</v>
      </c>
      <c r="W103" s="176">
        <f>USD!W104</f>
        <v>0.85</v>
      </c>
      <c r="X103" s="176">
        <f>USD!X104</f>
        <v>0.95</v>
      </c>
      <c r="Y103" s="176">
        <f>USD!Y104</f>
        <v>1</v>
      </c>
      <c r="Z103" s="176">
        <f>USD!Z104</f>
        <v>0.9</v>
      </c>
      <c r="AA103" s="176">
        <f>USD!AA104</f>
        <v>0.85</v>
      </c>
    </row>
    <row r="104" spans="15:27" ht="11.25">
      <c r="O104" s="87" t="str">
        <f>USD!O105</f>
        <v>г. Ярославль</v>
      </c>
      <c r="P104" s="88">
        <f>USD!P105</f>
        <v>100</v>
      </c>
      <c r="Q104" s="88">
        <f>USD!Q105</f>
        <v>85</v>
      </c>
      <c r="R104" s="176">
        <f>USD!R105</f>
        <v>0.9</v>
      </c>
      <c r="S104" s="176">
        <f>USD!S105</f>
        <v>0.85</v>
      </c>
      <c r="T104" s="176">
        <f>USD!T105</f>
        <v>0.7</v>
      </c>
      <c r="U104" s="176">
        <f>USD!U105</f>
        <v>0.85</v>
      </c>
      <c r="V104" s="176">
        <f>USD!V105</f>
        <v>0.7</v>
      </c>
      <c r="W104" s="176">
        <f>USD!W105</f>
        <v>0.9</v>
      </c>
      <c r="X104" s="176">
        <f>USD!X105</f>
        <v>0.95</v>
      </c>
      <c r="Y104" s="176">
        <f>USD!Y105</f>
        <v>1</v>
      </c>
      <c r="Z104" s="176">
        <f>USD!Z105</f>
        <v>0.9</v>
      </c>
      <c r="AA104" s="176">
        <f>USD!AA105</f>
        <v>0.85</v>
      </c>
    </row>
  </sheetData>
  <sheetProtection password="84F1" sheet="1" objects="1" scenarios="1"/>
  <mergeCells count="13">
    <mergeCell ref="I7:J7"/>
    <mergeCell ref="E7:H7"/>
    <mergeCell ref="Y25:AA25"/>
    <mergeCell ref="U25:V25"/>
    <mergeCell ref="W25:X25"/>
    <mergeCell ref="B21:H21"/>
    <mergeCell ref="H4:J4"/>
    <mergeCell ref="B2:H2"/>
    <mergeCell ref="F4:G4"/>
    <mergeCell ref="D6:H6"/>
    <mergeCell ref="I5:J5"/>
    <mergeCell ref="I6:J6"/>
    <mergeCell ref="D5:H5"/>
  </mergeCells>
  <dataValidations count="6">
    <dataValidation type="whole" operator="lessThanOrEqual" allowBlank="1" showErrorMessage="1" promptTitle="ошибка " errorTitle="Ошибка ввода" error="Срок кредита не может быть более 25 лет." sqref="B5">
      <formula1>25</formula1>
    </dataValidation>
    <dataValidation type="list" allowBlank="1" showInputMessage="1" showErrorMessage="1" sqref="H4:J4">
      <formula1>$Q$4:$Q$5</formula1>
    </dataValidation>
    <dataValidation type="decimal" operator="lessThanOrEqual" allowBlank="1" showInputMessage="1" showErrorMessage="1" sqref="B21:H21">
      <formula1>1</formula1>
    </dataValidation>
    <dataValidation type="whole" allowBlank="1" showErrorMessage="1" promptTitle="Срок строительства" prompt="Срок строительства не может быть больше 36 месяцев" errorTitle="Срок строительства" error="Срок строительства не может быть менее 1 и более 60 месяцев" sqref="B7">
      <formula1>1</formula1>
      <formula2>60</formula2>
    </dataValidation>
    <dataValidation type="list" allowBlank="1" showInputMessage="1" showErrorMessage="1" sqref="B2:H2">
      <formula1>$O$27:$O$104</formula1>
    </dataValidation>
    <dataValidation allowBlank="1" showErrorMessage="1" promptTitle="Срок строительства" prompt="Срок строительства не может быть больше 36 месяцев" errorTitle="Срок строительства" error="Срок строительства не может быть менее 1 и более 60 месяцев" sqref="C7"/>
  </dataValidations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105"/>
  <sheetViews>
    <sheetView workbookViewId="0" topLeftCell="A1">
      <selection activeCell="B2" sqref="B2:H2"/>
    </sheetView>
  </sheetViews>
  <sheetFormatPr defaultColWidth="9.00390625" defaultRowHeight="12.75"/>
  <cols>
    <col min="1" max="1" width="20.875" style="1" bestFit="1" customWidth="1"/>
    <col min="2" max="2" width="16.75390625" style="2" customWidth="1"/>
    <col min="3" max="3" width="6.75390625" style="2" customWidth="1"/>
    <col min="4" max="4" width="16.75390625" style="2" customWidth="1"/>
    <col min="5" max="5" width="6.75390625" style="2" customWidth="1"/>
    <col min="6" max="6" width="16.75390625" style="2" customWidth="1"/>
    <col min="7" max="7" width="6.75390625" style="2" customWidth="1"/>
    <col min="8" max="8" width="16.75390625" style="2" customWidth="1"/>
    <col min="9" max="9" width="6.75390625" style="2" customWidth="1"/>
    <col min="10" max="10" width="16.75390625" style="2" customWidth="1"/>
    <col min="11" max="11" width="9.125" style="2" customWidth="1"/>
    <col min="12" max="12" width="21.125" style="2" customWidth="1"/>
    <col min="13" max="13" width="13.75390625" style="15" customWidth="1"/>
    <col min="14" max="14" width="11.625" style="2" hidden="1" customWidth="1"/>
    <col min="15" max="15" width="21.875" style="2" hidden="1" customWidth="1"/>
    <col min="16" max="16" width="12.375" style="2" hidden="1" customWidth="1"/>
    <col min="17" max="17" width="11.00390625" style="2" hidden="1" customWidth="1"/>
    <col min="18" max="18" width="12.625" style="2" hidden="1" customWidth="1"/>
    <col min="19" max="19" width="13.75390625" style="2" hidden="1" customWidth="1"/>
    <col min="20" max="21" width="0" style="2" hidden="1" customWidth="1"/>
    <col min="22" max="22" width="12.375" style="2" hidden="1" customWidth="1"/>
    <col min="23" max="23" width="12.625" style="2" hidden="1" customWidth="1"/>
    <col min="24" max="27" width="0" style="2" hidden="1" customWidth="1"/>
    <col min="28" max="16384" width="9.125" style="2" customWidth="1"/>
  </cols>
  <sheetData>
    <row r="1" ht="13.5" thickBot="1"/>
    <row r="2" spans="1:15" ht="17.25" customHeight="1" thickBot="1" thickTop="1">
      <c r="A2" s="31" t="s">
        <v>26</v>
      </c>
      <c r="B2" s="200" t="s">
        <v>139</v>
      </c>
      <c r="C2" s="201"/>
      <c r="D2" s="201"/>
      <c r="E2" s="201"/>
      <c r="F2" s="201"/>
      <c r="G2" s="201"/>
      <c r="H2" s="202"/>
      <c r="I2" s="34"/>
      <c r="J2" s="32">
        <f>O2</f>
        <v>100</v>
      </c>
      <c r="O2" s="7">
        <f>IF(C5&gt;=USD!V114,O6,O5)</f>
        <v>100</v>
      </c>
    </row>
    <row r="3" spans="1:15" ht="14.25" thickBot="1" thickTop="1">
      <c r="A3" s="35"/>
      <c r="B3" s="34"/>
      <c r="C3" s="34"/>
      <c r="D3" s="34"/>
      <c r="E3" s="34"/>
      <c r="F3" s="34"/>
      <c r="G3" s="34"/>
      <c r="H3" s="34"/>
      <c r="I3" s="34"/>
      <c r="J3" s="34"/>
      <c r="O3" s="2">
        <f>VLOOKUP(B2,O27:R104,4,FALSE)</f>
        <v>0.85</v>
      </c>
    </row>
    <row r="4" spans="1:10" ht="17.25" thickBot="1" thickTop="1">
      <c r="A4" s="194" t="s">
        <v>0</v>
      </c>
      <c r="B4" s="210"/>
      <c r="C4" s="33">
        <v>15</v>
      </c>
      <c r="D4" s="54" t="s">
        <v>1</v>
      </c>
      <c r="E4" s="196" t="s">
        <v>2</v>
      </c>
      <c r="F4" s="197"/>
      <c r="G4" s="205">
        <f>IF(C4&lt;=USD!O136,USD!Q136,IF(C4&lt;=USD!O137,USD!Q137,IF(C4&lt;=USD!O138,USD!Q138,IF(C4&lt;=USD!O140,USD!Q140,10))))</f>
        <v>0.135</v>
      </c>
      <c r="H4" s="193"/>
      <c r="I4" s="34"/>
      <c r="J4" s="34"/>
    </row>
    <row r="5" spans="1:15" ht="17.25" thickBot="1" thickTop="1">
      <c r="A5" s="203" t="s">
        <v>3</v>
      </c>
      <c r="B5" s="204"/>
      <c r="C5" s="33">
        <v>1</v>
      </c>
      <c r="D5" s="34"/>
      <c r="E5" s="196" t="s">
        <v>14</v>
      </c>
      <c r="F5" s="197"/>
      <c r="G5" s="211">
        <v>27</v>
      </c>
      <c r="H5" s="212"/>
      <c r="I5" s="34"/>
      <c r="J5" s="34"/>
      <c r="O5" s="7">
        <f>VLOOKUP(B2,O27:P104,2,FALSE)</f>
        <v>100</v>
      </c>
    </row>
    <row r="6" spans="1:15" ht="26.25" thickTop="1">
      <c r="A6" s="35"/>
      <c r="B6" s="27" t="s">
        <v>4</v>
      </c>
      <c r="C6" s="34"/>
      <c r="D6" s="27" t="s">
        <v>5</v>
      </c>
      <c r="E6" s="34"/>
      <c r="F6" s="27" t="s">
        <v>6</v>
      </c>
      <c r="G6" s="34"/>
      <c r="H6" s="27" t="s">
        <v>7</v>
      </c>
      <c r="I6" s="34"/>
      <c r="J6" s="27" t="s">
        <v>8</v>
      </c>
      <c r="N6" s="7">
        <f>O2*C5</f>
        <v>100</v>
      </c>
      <c r="O6" s="7">
        <f>VLOOKUP(B2,O27:Q104,3,FALSE)</f>
        <v>85</v>
      </c>
    </row>
    <row r="7" spans="1:10" ht="13.5" customHeight="1" thickBot="1">
      <c r="A7" s="35"/>
      <c r="B7" s="56"/>
      <c r="C7" s="34"/>
      <c r="D7" s="56"/>
      <c r="E7" s="34"/>
      <c r="F7" s="56"/>
      <c r="G7" s="34"/>
      <c r="H7" s="56"/>
      <c r="I7" s="34"/>
      <c r="J7" s="34"/>
    </row>
    <row r="8" spans="1:10" ht="27" customHeight="1" thickBot="1" thickTop="1">
      <c r="A8" s="31" t="s">
        <v>9</v>
      </c>
      <c r="B8" s="57">
        <v>100000000</v>
      </c>
      <c r="C8" s="40"/>
      <c r="D8" s="58">
        <f>D10/$O$3</f>
        <v>749737.6470588235</v>
      </c>
      <c r="E8" s="40"/>
      <c r="F8" s="58">
        <f>F10/$O$3</f>
        <v>3964947.0588235296</v>
      </c>
      <c r="G8" s="40"/>
      <c r="H8" s="58">
        <f>H10/$O$3</f>
        <v>4275937.647058824</v>
      </c>
      <c r="I8" s="40"/>
      <c r="J8" s="59">
        <f>IF(O3=1,J16/O3,J16/(1-O3))</f>
        <v>674766.6666666665</v>
      </c>
    </row>
    <row r="9" spans="1:10" ht="16.5" thickBot="1" thickTop="1">
      <c r="A9" s="35"/>
      <c r="B9" s="40"/>
      <c r="C9" s="40"/>
      <c r="D9" s="40"/>
      <c r="E9" s="40"/>
      <c r="F9" s="40"/>
      <c r="G9" s="40"/>
      <c r="H9" s="40"/>
      <c r="I9" s="40"/>
      <c r="J9" s="40"/>
    </row>
    <row r="10" spans="1:23" s="10" customFormat="1" ht="27" customHeight="1" thickBot="1" thickTop="1">
      <c r="A10" s="31" t="s">
        <v>10</v>
      </c>
      <c r="B10" s="60">
        <f>ROUND(B8*O3,0)</f>
        <v>85000000</v>
      </c>
      <c r="C10" s="8"/>
      <c r="D10" s="61">
        <v>637277</v>
      </c>
      <c r="E10" s="9"/>
      <c r="F10" s="60">
        <f>ROUND(F12/(($G$4/12)/(1-(1+($G$4/12))^-($C$4*12))),0)</f>
        <v>3370205</v>
      </c>
      <c r="G10" s="9"/>
      <c r="H10" s="60">
        <f>ROUND(ROUND(H12,0)/(($G$4/12)/(1-(1+($G$4/12))^-($C$4*12))),0)</f>
        <v>3634547</v>
      </c>
      <c r="I10" s="9"/>
      <c r="J10" s="62">
        <f>IF(O3=1,J8,J8-J16)</f>
        <v>573551.6666666665</v>
      </c>
      <c r="M10" s="16"/>
      <c r="N10" s="81">
        <f>(B12+$N$6*$G$5)/USD!$Q$123</f>
        <v>1701955.3846153845</v>
      </c>
      <c r="O10" s="81">
        <f>B12/USD!$P$123</f>
        <v>2452380</v>
      </c>
      <c r="P10" s="81">
        <f>(D12+$N$6*$G$5)/USD!$Q$123</f>
        <v>16883.076923076922</v>
      </c>
      <c r="Q10" s="81">
        <f>D12/USD!$P$123</f>
        <v>18386.666666666668</v>
      </c>
      <c r="R10" s="81">
        <f>(F12+$N$6*$G$5)/USD!$Q$123</f>
        <v>71470.76923076923</v>
      </c>
      <c r="S10" s="81">
        <f>F12/USD!$P$123</f>
        <v>97235.55555555555</v>
      </c>
      <c r="V10" s="81">
        <f>(J12+$N$6*$G$5)/USD!$Q$123</f>
        <v>15610.76923076923</v>
      </c>
      <c r="W10" s="81">
        <f>J12/USD!$P$123</f>
        <v>16548.888888888887</v>
      </c>
    </row>
    <row r="11" spans="1:23" ht="13.5" customHeight="1" thickBot="1" thickTop="1">
      <c r="A11" s="36"/>
      <c r="B11" s="9"/>
      <c r="C11" s="9"/>
      <c r="D11" s="9"/>
      <c r="E11" s="40"/>
      <c r="F11" s="9"/>
      <c r="G11" s="40"/>
      <c r="H11" s="9"/>
      <c r="I11" s="40"/>
      <c r="J11" s="9"/>
      <c r="L11" s="10"/>
      <c r="M11" s="16"/>
      <c r="N11" s="80"/>
      <c r="O11" s="81">
        <f>USD!$O$123+0.01</f>
        <v>30000.01</v>
      </c>
      <c r="P11" s="80"/>
      <c r="Q11" s="81">
        <f>USD!$O$123+0.01</f>
        <v>30000.01</v>
      </c>
      <c r="R11" s="80"/>
      <c r="S11" s="81">
        <f>USD!$O$123+0.01</f>
        <v>30000.01</v>
      </c>
      <c r="V11" s="80"/>
      <c r="W11" s="81">
        <f>USD!$O$123+0.01</f>
        <v>30000.01</v>
      </c>
    </row>
    <row r="12" spans="1:23" s="14" customFormat="1" ht="27" customHeight="1" thickBot="1" thickTop="1">
      <c r="A12" s="37" t="s">
        <v>11</v>
      </c>
      <c r="B12" s="63">
        <f>ROUND(B10*(($G$4/12)/(1-(1+($G$4/12))^-($C$4*12))),0)</f>
        <v>1103571</v>
      </c>
      <c r="C12" s="23"/>
      <c r="D12" s="63">
        <f>ROUND(D10*(($G$4/12)/(1-(1+($G$4/12))^-($C$4*12))),0)</f>
        <v>8274</v>
      </c>
      <c r="E12" s="47"/>
      <c r="F12" s="64">
        <v>43756</v>
      </c>
      <c r="G12" s="47"/>
      <c r="H12" s="63">
        <f>IF(H14=0,0,IF(H14&lt;=USD!O123,MIN(H14*USD!Q123-N6*G5,H14*USD!P123),IF(H14&lt;=USD!O124,MIN(H14*USD!Q124-N6*G5,H14*USD!P124),IF(H14&lt;=USD!O125,MIN(H14*USD!Q125-N6*G5,H14*USD!P125),IF(H14&lt;=USD!O126,MIN(H14*USD!Q126-N6*G5,H14*USD!P126),IF(H14&lt;=USD!O127,MIN(H14*USD!Q127-N6*G5,H14*USD!P127),IF(H14&lt;=USD!O128,MIN(H14*USD!Q128-N6*G5,H14*USD!P128),MIN(H14*USD!Q129-N6*G5,H14*USD!P129))))))))</f>
        <v>47187.8</v>
      </c>
      <c r="I12" s="47"/>
      <c r="J12" s="63">
        <f>ROUND(J10*(($G$4/12)/(1-(1+($G$4/12))^-($C$4*12))),0)</f>
        <v>7447</v>
      </c>
      <c r="M12" s="17"/>
      <c r="N12" s="81">
        <f>(B12+$N$6*$G$5)/USD!$Q$124</f>
        <v>1580387.142857143</v>
      </c>
      <c r="O12" s="81">
        <f>B12/USD!$P$124</f>
        <v>2207142</v>
      </c>
      <c r="P12" s="81">
        <f>(D12+$N$6*$G$5)/USD!$Q$124</f>
        <v>15677.142857142859</v>
      </c>
      <c r="Q12" s="81">
        <f>D12/USD!$P$124</f>
        <v>16548</v>
      </c>
      <c r="R12" s="81">
        <f>(F12+$N$6*$G$5)/USD!$Q$124</f>
        <v>66365.71428571429</v>
      </c>
      <c r="S12" s="81">
        <f>F12/USD!$P$124</f>
        <v>87512</v>
      </c>
      <c r="V12" s="81">
        <f>(J12+$N$6*$G$5)/USD!$Q$124</f>
        <v>14495.714285714286</v>
      </c>
      <c r="W12" s="81">
        <f>J12/USD!$P$124</f>
        <v>14894</v>
      </c>
    </row>
    <row r="13" spans="1:23" ht="13.5" customHeight="1" thickBot="1" thickTop="1">
      <c r="A13" s="35"/>
      <c r="B13" s="40"/>
      <c r="C13" s="40"/>
      <c r="D13" s="40"/>
      <c r="E13" s="40"/>
      <c r="F13" s="40"/>
      <c r="G13" s="40"/>
      <c r="H13" s="40"/>
      <c r="I13" s="40"/>
      <c r="J13" s="40"/>
      <c r="N13" s="81"/>
      <c r="O13" s="81">
        <f>USD!$O$124+0.01</f>
        <v>60000.01</v>
      </c>
      <c r="P13" s="81"/>
      <c r="Q13" s="81">
        <f>USD!$O$124+0.01</f>
        <v>60000.01</v>
      </c>
      <c r="R13" s="81"/>
      <c r="S13" s="81">
        <f>USD!$O$124+0.01</f>
        <v>60000.01</v>
      </c>
      <c r="V13" s="81"/>
      <c r="W13" s="81">
        <f>USD!$O$124+0.01</f>
        <v>60000.01</v>
      </c>
    </row>
    <row r="14" spans="1:23" ht="27" customHeight="1" thickBot="1" thickTop="1">
      <c r="A14" s="38" t="s">
        <v>12</v>
      </c>
      <c r="B14" s="65">
        <f>IF(B8=0,0,IF(MAX(N10:O10)&lt;=USD!$O$123,MAX(N10:O10),IF(MAX(N12:O12)&lt;=USD!$O$124,MAX(N11:O12),IF(MAX(N14:O14)&lt;=USD!$O$125,MAX(N13:O14),IF(MAX(N16:O16)&lt;=USD!$O$126,MAX(N15:O16),IF(MAX(N18:O18)&lt;=USD!$O$127,MAX(N17:O18),IF(MAX(N20:O20)&lt;=USD!$O$128,MAX(N19:O20),MAX(N21:O22))))))))</f>
        <v>1471428</v>
      </c>
      <c r="C14" s="50"/>
      <c r="D14" s="65">
        <f>IF(D8=0,0,IF(MAX(P10:Q10)&lt;=USD!$O$123,MAX(P10:Q10),IF(MAX(P12:Q12)&lt;=USD!$O$124,MAX(P11:Q12),IF(MAX(P14:Q14)&lt;=USD!$O$125,MAX(P13:Q14),IF(MAX(P16:Q16)&lt;=USD!$O$126,MAX(P15:Q16),IF(MAX(P18:Q18)&lt;=USD!$O$127,MAX(P17:Q18),IF(MAX(P20:Q20)&lt;=USD!$O$128,MAX(P19:Q20),MAX(P21:Q22))))))))</f>
        <v>18386.666666666668</v>
      </c>
      <c r="E14" s="40"/>
      <c r="F14" s="65">
        <f>IF(F8=0,0,IF(MAX(R10:S10)&lt;=USD!$O$123,MAX(R10:S10),IF(MAX(R12:S12)&lt;=USD!$O$124,MAX(R11:S12),IF(MAX(R14:S14)&lt;=USD!$O$125,MAX(R13:S14),IF(MAX(R16:S16)&lt;=USD!$O$126,MAX(R15:S16),IF(MAX(R18:S18)&lt;=USD!$O$127,MAX(R17:S18),IF(MAX(R20:S20)&lt;=USD!$O$128,MAX(R19:S20),MAX(R21:S22))))))))</f>
        <v>79556.36363636363</v>
      </c>
      <c r="G14" s="40"/>
      <c r="H14" s="66">
        <v>85796</v>
      </c>
      <c r="I14" s="40"/>
      <c r="J14" s="65">
        <f>IF(J8=0,0,IF(MAX(V10:W10)&lt;=USD!$O$123,MAX(V10:W10),IF(MAX(V12:W12)&lt;=USD!$O$124,MAX(V11:W12),IF(MAX(V14:W14)&lt;=USD!$O$125,MAX(V13:W14),IF(MAX(V16:W16)&lt;=USD!$O$126,MAX(V15:W16),IF(MAX(V18:W18)&lt;=USD!$O$127,MAX(V17:W18),IF(MAX(V20:W20)&lt;=USD!$O$128,MAX(V19:W20),MAX(V21:W22))))))))</f>
        <v>16548.888888888887</v>
      </c>
      <c r="N14" s="81">
        <f>(B12+$N$6*$G$5)/USD!$Q$125</f>
        <v>1475028</v>
      </c>
      <c r="O14" s="81">
        <f>B12/USD!$P$125</f>
        <v>2006492.727272727</v>
      </c>
      <c r="P14" s="81">
        <f>(D12+$N$6*$G$5)/USD!$Q$125</f>
        <v>14632</v>
      </c>
      <c r="Q14" s="81">
        <f>D12/USD!$P$125</f>
        <v>15043.636363636362</v>
      </c>
      <c r="R14" s="81">
        <f>(F12+$N$6*$G$5)/USD!$Q$125</f>
        <v>61941.333333333336</v>
      </c>
      <c r="S14" s="81">
        <f>F12/USD!$P$125</f>
        <v>79556.36363636363</v>
      </c>
      <c r="V14" s="81">
        <f>(J12+$N$6*$G$5)/USD!$Q$125</f>
        <v>13529.333333333334</v>
      </c>
      <c r="W14" s="81">
        <f>J12/USD!$P$125</f>
        <v>13539.999999999998</v>
      </c>
    </row>
    <row r="15" spans="1:23" ht="13.5" customHeight="1" thickBot="1" thickTop="1">
      <c r="A15" s="35"/>
      <c r="B15" s="26"/>
      <c r="C15" s="40"/>
      <c r="D15" s="40"/>
      <c r="E15" s="40"/>
      <c r="F15" s="40"/>
      <c r="G15" s="40"/>
      <c r="H15" s="40"/>
      <c r="I15" s="40"/>
      <c r="J15" s="40"/>
      <c r="N15" s="81"/>
      <c r="O15" s="81">
        <f>USD!$O$125+0.01</f>
        <v>90000.01</v>
      </c>
      <c r="P15" s="81"/>
      <c r="Q15" s="81">
        <f>USD!$O$125+0.01</f>
        <v>90000.01</v>
      </c>
      <c r="R15" s="81"/>
      <c r="S15" s="81">
        <f>USD!$O$125+0.01</f>
        <v>90000.01</v>
      </c>
      <c r="V15" s="81"/>
      <c r="W15" s="81">
        <f>USD!$O$125+0.01</f>
        <v>90000.01</v>
      </c>
    </row>
    <row r="16" spans="1:23" ht="27" customHeight="1" thickBot="1" thickTop="1">
      <c r="A16" s="31" t="s">
        <v>13</v>
      </c>
      <c r="B16" s="67">
        <f>B8-B10</f>
        <v>15000000</v>
      </c>
      <c r="C16" s="40"/>
      <c r="D16" s="67">
        <f>D8-D10</f>
        <v>112460.6470588235</v>
      </c>
      <c r="E16" s="40"/>
      <c r="F16" s="67">
        <f>F8-F10</f>
        <v>594742.0588235296</v>
      </c>
      <c r="G16" s="40"/>
      <c r="H16" s="67">
        <f>H8-H10</f>
        <v>641390.6470588241</v>
      </c>
      <c r="I16" s="40"/>
      <c r="J16" s="68">
        <v>101215</v>
      </c>
      <c r="N16" s="81">
        <f>(B12+$N$6*$G$5)/USD!$Q$126</f>
        <v>1382838.75</v>
      </c>
      <c r="O16" s="81">
        <f>B12/USD!$P$126</f>
        <v>1839285</v>
      </c>
      <c r="P16" s="81">
        <f>(D12+$N$6*$G$5)/USD!$Q$126</f>
        <v>13717.5</v>
      </c>
      <c r="Q16" s="81">
        <f>D12/USD!$P$126</f>
        <v>13790</v>
      </c>
      <c r="R16" s="81">
        <f>(F12+$N$6*$G$5)/USD!$Q$126</f>
        <v>58070</v>
      </c>
      <c r="S16" s="81">
        <f>F12/USD!$P$126</f>
        <v>72926.66666666667</v>
      </c>
      <c r="V16" s="81">
        <f>(J12+$N$6*$G$5)/USD!$Q$126</f>
        <v>12683.75</v>
      </c>
      <c r="W16" s="81">
        <f>J12/USD!$P$126</f>
        <v>12411.666666666668</v>
      </c>
    </row>
    <row r="17" spans="14:23" ht="13.5" thickTop="1">
      <c r="N17" s="79"/>
      <c r="O17" s="81">
        <f>USD!$O$126+0.01</f>
        <v>180000.01</v>
      </c>
      <c r="P17" s="79"/>
      <c r="Q17" s="81">
        <f>USD!$O$126+0.01</f>
        <v>180000.01</v>
      </c>
      <c r="R17" s="79"/>
      <c r="S17" s="81">
        <f>USD!$O$126+0.01</f>
        <v>180000.01</v>
      </c>
      <c r="V17" s="79"/>
      <c r="W17" s="81">
        <f>USD!$O$126+0.01</f>
        <v>180000.01</v>
      </c>
    </row>
    <row r="18" spans="14:23" ht="12.75">
      <c r="N18" s="81">
        <f>(B12+$N$6*$G$5)/USD!$Q$127</f>
        <v>1301495.294117647</v>
      </c>
      <c r="O18" s="81">
        <f>B12/USD!$P$127</f>
        <v>1697801.5384615385</v>
      </c>
      <c r="P18" s="81">
        <f>(D12+$N$6*$G$5)/USD!$Q$127</f>
        <v>12910.588235294117</v>
      </c>
      <c r="Q18" s="81">
        <f>D12/USD!$P$127</f>
        <v>12729.23076923077</v>
      </c>
      <c r="R18" s="81">
        <f>(F12+$N$6*$G$5)/USD!$Q$127</f>
        <v>54654.117647058825</v>
      </c>
      <c r="S18" s="81">
        <f>F12/USD!$P$127</f>
        <v>67316.92307692308</v>
      </c>
      <c r="V18" s="81">
        <f>(J12+$N$6*$G$5)/USD!$Q$127</f>
        <v>11937.64705882353</v>
      </c>
      <c r="W18" s="81">
        <f>J12/USD!$P$127</f>
        <v>11456.923076923076</v>
      </c>
    </row>
    <row r="19" spans="14:23" ht="12.75">
      <c r="N19" s="79"/>
      <c r="O19" s="81">
        <f>USD!$O$127+0.01</f>
        <v>270000.01</v>
      </c>
      <c r="P19" s="79"/>
      <c r="Q19" s="81">
        <f>USD!$O$127+0.01</f>
        <v>270000.01</v>
      </c>
      <c r="R19" s="79"/>
      <c r="S19" s="81">
        <f>USD!$O$127+0.01</f>
        <v>270000.01</v>
      </c>
      <c r="V19" s="79"/>
      <c r="W19" s="81">
        <f>USD!$O$127+0.01</f>
        <v>270000.01</v>
      </c>
    </row>
    <row r="20" spans="14:23" ht="12.75">
      <c r="N20" s="81">
        <f>(B12+$N$6*$G$5)/USD!$Q$128</f>
        <v>1229190</v>
      </c>
      <c r="O20" s="81">
        <f>B12/USD!$P$128</f>
        <v>1576530</v>
      </c>
      <c r="P20" s="81">
        <f>(D12+$N$6*$G$5)/USD!$Q$128</f>
        <v>12193.333333333334</v>
      </c>
      <c r="Q20" s="81">
        <f>D12/USD!$P$128</f>
        <v>11820</v>
      </c>
      <c r="R20" s="81">
        <f>(F12+$N$6*$G$5)/USD!$Q$128</f>
        <v>51617.777777777774</v>
      </c>
      <c r="S20" s="81">
        <f>F12/USD!$P$128</f>
        <v>62508.571428571435</v>
      </c>
      <c r="V20" s="81">
        <f>(J12+$N$6*$G$5)/USD!$Q$128</f>
        <v>11274.444444444443</v>
      </c>
      <c r="W20" s="81">
        <f>J12/USD!$P$128</f>
        <v>10638.57142857143</v>
      </c>
    </row>
    <row r="21" spans="14:23" ht="12.75">
      <c r="N21" s="79"/>
      <c r="O21" s="81">
        <f>USD!$O$128+0.01</f>
        <v>360000.01</v>
      </c>
      <c r="P21" s="79"/>
      <c r="Q21" s="81">
        <f>USD!$O$128+0.01</f>
        <v>360000.01</v>
      </c>
      <c r="R21" s="79"/>
      <c r="S21" s="81">
        <f>USD!$O$128+0.01</f>
        <v>360000.01</v>
      </c>
      <c r="V21" s="79"/>
      <c r="W21" s="81">
        <f>USD!$O$128+0.01</f>
        <v>360000.01</v>
      </c>
    </row>
    <row r="22" spans="14:23" ht="12.75">
      <c r="N22" s="81">
        <f>(B12+$N$6*$G$5)/USD!$Q$129</f>
        <v>1164495.7894736843</v>
      </c>
      <c r="O22" s="81">
        <f>B12/USD!$P$129</f>
        <v>1471428</v>
      </c>
      <c r="P22" s="81">
        <f>(D12+$N$6*$G$5)/USD!$Q$129</f>
        <v>11551.578947368422</v>
      </c>
      <c r="Q22" s="81">
        <f>D12/USD!$P$129</f>
        <v>11032</v>
      </c>
      <c r="R22" s="81">
        <f>(F12+$N$6*$G$5)/USD!$Q$129</f>
        <v>48901.05263157895</v>
      </c>
      <c r="S22" s="81">
        <f>F12/USD!$P$129</f>
        <v>58341.333333333336</v>
      </c>
      <c r="V22" s="81">
        <f>(J12+$N$6*$G$5)/USD!$Q$129</f>
        <v>10681.052631578948</v>
      </c>
      <c r="W22" s="81">
        <f>J12/USD!$P$129</f>
        <v>9929.333333333334</v>
      </c>
    </row>
    <row r="25" spans="18:27" ht="12.75">
      <c r="R25" s="175" t="str">
        <f>USD!R26</f>
        <v>Готовое</v>
      </c>
      <c r="S25" s="175" t="str">
        <f>USD!S26</f>
        <v>Стройка</v>
      </c>
      <c r="T25" s="175" t="str">
        <f>USD!T26</f>
        <v>Нецелевой</v>
      </c>
      <c r="U25" s="199" t="str">
        <f>USD!U26</f>
        <v>Рефинансирование</v>
      </c>
      <c r="V25" s="199"/>
      <c r="W25" s="199" t="str">
        <f>USD!W26</f>
        <v>Сотрудники</v>
      </c>
      <c r="X25" s="199"/>
      <c r="Y25" s="199" t="str">
        <f>USD!Y26</f>
        <v>УЖУ</v>
      </c>
      <c r="Z25" s="199"/>
      <c r="AA25" s="199"/>
    </row>
    <row r="26" spans="18:27" ht="12.75">
      <c r="R26" s="175"/>
      <c r="S26" s="175"/>
      <c r="T26" s="175"/>
      <c r="U26" s="175" t="str">
        <f>USD!U27</f>
        <v>Готовое</v>
      </c>
      <c r="V26" s="175" t="str">
        <f>USD!V27</f>
        <v>Нецелевой</v>
      </c>
      <c r="W26" s="175" t="str">
        <f>USD!W27</f>
        <v>Готовое</v>
      </c>
      <c r="X26" s="175" t="str">
        <f>USD!X27</f>
        <v>Стройка</v>
      </c>
      <c r="Y26" s="175" t="str">
        <f>USD!Y27</f>
        <v>Собств.</v>
      </c>
      <c r="Z26" s="175" t="str">
        <f>USD!Z27</f>
        <v>Собств.+Покуп.</v>
      </c>
      <c r="AA26" s="175" t="str">
        <f>USD!AA27</f>
        <v>Не продается</v>
      </c>
    </row>
    <row r="27" spans="15:27" ht="12.75">
      <c r="O27" s="87" t="str">
        <f>USD!O28</f>
        <v>Остальные регионы</v>
      </c>
      <c r="P27" s="88">
        <f>USD!P28</f>
        <v>100</v>
      </c>
      <c r="Q27" s="88">
        <f>USD!Q28</f>
        <v>85</v>
      </c>
      <c r="R27" s="176">
        <f>USD!R28</f>
        <v>0.85</v>
      </c>
      <c r="S27" s="176">
        <f>USD!S28</f>
        <v>0.85</v>
      </c>
      <c r="T27" s="176">
        <f>USD!T28</f>
        <v>0.7</v>
      </c>
      <c r="U27" s="176">
        <f>USD!U28</f>
        <v>0.85</v>
      </c>
      <c r="V27" s="176">
        <f>USD!V28</f>
        <v>0.7</v>
      </c>
      <c r="W27" s="176">
        <f>USD!W28</f>
        <v>0.85</v>
      </c>
      <c r="X27" s="176">
        <f>USD!X28</f>
        <v>0.95</v>
      </c>
      <c r="Y27" s="176">
        <f>USD!Y28</f>
        <v>1</v>
      </c>
      <c r="Z27" s="176">
        <f>USD!Z28</f>
        <v>0.9</v>
      </c>
      <c r="AA27" s="176">
        <f>USD!AA28</f>
        <v>0.85</v>
      </c>
    </row>
    <row r="28" spans="15:27" ht="12.75">
      <c r="O28" s="87" t="str">
        <f>USD!O29</f>
        <v>Архангельская область (не включая г. Архангельск)</v>
      </c>
      <c r="P28" s="88">
        <f>USD!P29</f>
        <v>100</v>
      </c>
      <c r="Q28" s="88">
        <f>USD!Q29</f>
        <v>85</v>
      </c>
      <c r="R28" s="176">
        <f>USD!R29</f>
        <v>0.85</v>
      </c>
      <c r="S28" s="176">
        <f>USD!S29</f>
        <v>0.85</v>
      </c>
      <c r="T28" s="176">
        <f>USD!T29</f>
        <v>0.7</v>
      </c>
      <c r="U28" s="176">
        <f>USD!U29</f>
        <v>0.85</v>
      </c>
      <c r="V28" s="176">
        <f>USD!V29</f>
        <v>0.7</v>
      </c>
      <c r="W28" s="176">
        <f>USD!W29</f>
        <v>0.85</v>
      </c>
      <c r="X28" s="176">
        <f>USD!X29</f>
        <v>0.95</v>
      </c>
      <c r="Y28" s="176">
        <f>USD!Y29</f>
        <v>1</v>
      </c>
      <c r="Z28" s="176">
        <f>USD!Z29</f>
        <v>0.9</v>
      </c>
      <c r="AA28" s="176">
        <f>USD!AA29</f>
        <v>0.85</v>
      </c>
    </row>
    <row r="29" spans="15:27" ht="12.75">
      <c r="O29" s="87" t="str">
        <f>USD!O30</f>
        <v>г. Архангельск</v>
      </c>
      <c r="P29" s="88">
        <f>USD!P30</f>
        <v>100</v>
      </c>
      <c r="Q29" s="88">
        <f>USD!Q30</f>
        <v>85</v>
      </c>
      <c r="R29" s="176">
        <f>USD!R30</f>
        <v>0.9</v>
      </c>
      <c r="S29" s="176">
        <f>USD!S30</f>
        <v>0.85</v>
      </c>
      <c r="T29" s="176">
        <f>USD!T30</f>
        <v>0.7</v>
      </c>
      <c r="U29" s="176">
        <f>USD!U30</f>
        <v>0.85</v>
      </c>
      <c r="V29" s="176">
        <f>USD!V30</f>
        <v>0.7</v>
      </c>
      <c r="W29" s="176">
        <f>USD!W30</f>
        <v>0.9</v>
      </c>
      <c r="X29" s="176">
        <f>USD!X30</f>
        <v>0.95</v>
      </c>
      <c r="Y29" s="176">
        <f>USD!Y30</f>
        <v>1</v>
      </c>
      <c r="Z29" s="176">
        <f>USD!Z30</f>
        <v>0.9</v>
      </c>
      <c r="AA29" s="176">
        <f>USD!AA30</f>
        <v>0.85</v>
      </c>
    </row>
    <row r="30" spans="15:27" ht="12.75">
      <c r="O30" s="87" t="str">
        <f>USD!O31</f>
        <v>Астраханская область (не включая г. Астрахань)</v>
      </c>
      <c r="P30" s="88">
        <f>USD!P31</f>
        <v>100</v>
      </c>
      <c r="Q30" s="88">
        <f>USD!Q31</f>
        <v>85</v>
      </c>
      <c r="R30" s="176">
        <f>USD!R31</f>
        <v>0.85</v>
      </c>
      <c r="S30" s="176">
        <f>USD!S31</f>
        <v>0.85</v>
      </c>
      <c r="T30" s="176">
        <f>USD!T31</f>
        <v>0.7</v>
      </c>
      <c r="U30" s="176">
        <f>USD!U31</f>
        <v>0.85</v>
      </c>
      <c r="V30" s="176">
        <f>USD!V31</f>
        <v>0.7</v>
      </c>
      <c r="W30" s="176">
        <f>USD!W31</f>
        <v>0.85</v>
      </c>
      <c r="X30" s="176">
        <f>USD!X31</f>
        <v>0.95</v>
      </c>
      <c r="Y30" s="176">
        <f>USD!Y31</f>
        <v>1</v>
      </c>
      <c r="Z30" s="176">
        <f>USD!Z31</f>
        <v>0.9</v>
      </c>
      <c r="AA30" s="176">
        <f>USD!AA31</f>
        <v>0.85</v>
      </c>
    </row>
    <row r="31" spans="15:27" ht="12.75">
      <c r="O31" s="87" t="str">
        <f>USD!O32</f>
        <v>г. Астрахань</v>
      </c>
      <c r="P31" s="88">
        <f>USD!P32</f>
        <v>100</v>
      </c>
      <c r="Q31" s="88">
        <f>USD!Q32</f>
        <v>85</v>
      </c>
      <c r="R31" s="176">
        <f>USD!R32</f>
        <v>0.9</v>
      </c>
      <c r="S31" s="176">
        <f>USD!S32</f>
        <v>0.85</v>
      </c>
      <c r="T31" s="176">
        <f>USD!T32</f>
        <v>0.7</v>
      </c>
      <c r="U31" s="176">
        <f>USD!U32</f>
        <v>0.85</v>
      </c>
      <c r="V31" s="176">
        <f>USD!V32</f>
        <v>0.7</v>
      </c>
      <c r="W31" s="176">
        <f>USD!W32</f>
        <v>0.9</v>
      </c>
      <c r="X31" s="176">
        <f>USD!X32</f>
        <v>0.95</v>
      </c>
      <c r="Y31" s="176">
        <f>USD!Y32</f>
        <v>1</v>
      </c>
      <c r="Z31" s="176">
        <f>USD!Z32</f>
        <v>0.9</v>
      </c>
      <c r="AA31" s="176">
        <f>USD!AA32</f>
        <v>0.85</v>
      </c>
    </row>
    <row r="32" spans="15:27" ht="12.75">
      <c r="O32" s="87" t="str">
        <f>USD!O33</f>
        <v>Алтайский край (не включая г. Барнаул)</v>
      </c>
      <c r="P32" s="88">
        <f>USD!P33</f>
        <v>100</v>
      </c>
      <c r="Q32" s="88">
        <f>USD!Q33</f>
        <v>85</v>
      </c>
      <c r="R32" s="176">
        <f>USD!R33</f>
        <v>0.85</v>
      </c>
      <c r="S32" s="176">
        <f>USD!S33</f>
        <v>0.85</v>
      </c>
      <c r="T32" s="176">
        <f>USD!T33</f>
        <v>0.7</v>
      </c>
      <c r="U32" s="176">
        <f>USD!U33</f>
        <v>0.85</v>
      </c>
      <c r="V32" s="176">
        <f>USD!V33</f>
        <v>0.7</v>
      </c>
      <c r="W32" s="176">
        <f>USD!W33</f>
        <v>0.85</v>
      </c>
      <c r="X32" s="176">
        <f>USD!X33</f>
        <v>0.95</v>
      </c>
      <c r="Y32" s="176">
        <f>USD!Y33</f>
        <v>1</v>
      </c>
      <c r="Z32" s="176">
        <f>USD!Z33</f>
        <v>0.9</v>
      </c>
      <c r="AA32" s="176">
        <f>USD!AA33</f>
        <v>0.85</v>
      </c>
    </row>
    <row r="33" spans="15:27" ht="12.75">
      <c r="O33" s="87" t="str">
        <f>USD!O34</f>
        <v>г. Барнаул</v>
      </c>
      <c r="P33" s="88">
        <f>USD!P34</f>
        <v>100</v>
      </c>
      <c r="Q33" s="88">
        <f>USD!Q34</f>
        <v>85</v>
      </c>
      <c r="R33" s="176">
        <f>USD!R34</f>
        <v>0.9</v>
      </c>
      <c r="S33" s="176">
        <f>USD!S34</f>
        <v>0.85</v>
      </c>
      <c r="T33" s="176">
        <f>USD!T34</f>
        <v>0.7</v>
      </c>
      <c r="U33" s="176">
        <f>USD!U34</f>
        <v>0.85</v>
      </c>
      <c r="V33" s="176">
        <f>USD!V34</f>
        <v>0.7</v>
      </c>
      <c r="W33" s="176">
        <f>USD!W34</f>
        <v>0.9</v>
      </c>
      <c r="X33" s="176">
        <f>USD!X34</f>
        <v>0.95</v>
      </c>
      <c r="Y33" s="176">
        <f>USD!Y34</f>
        <v>1</v>
      </c>
      <c r="Z33" s="176">
        <f>USD!Z34</f>
        <v>0.9</v>
      </c>
      <c r="AA33" s="176">
        <f>USD!AA34</f>
        <v>0.85</v>
      </c>
    </row>
    <row r="34" spans="15:27" ht="12.75">
      <c r="O34" s="87" t="str">
        <f>USD!O35</f>
        <v>Белгородская область (не включая г. Белгород)</v>
      </c>
      <c r="P34" s="88">
        <f>USD!P35</f>
        <v>100</v>
      </c>
      <c r="Q34" s="88">
        <f>USD!Q35</f>
        <v>85</v>
      </c>
      <c r="R34" s="176">
        <f>USD!R35</f>
        <v>0.85</v>
      </c>
      <c r="S34" s="176">
        <f>USD!S35</f>
        <v>0.85</v>
      </c>
      <c r="T34" s="176">
        <f>USD!T35</f>
        <v>0.7</v>
      </c>
      <c r="U34" s="176">
        <f>USD!U35</f>
        <v>0.85</v>
      </c>
      <c r="V34" s="176">
        <f>USD!V35</f>
        <v>0.7</v>
      </c>
      <c r="W34" s="176">
        <f>USD!W35</f>
        <v>0.85</v>
      </c>
      <c r="X34" s="176">
        <f>USD!X35</f>
        <v>0.95</v>
      </c>
      <c r="Y34" s="176">
        <f>USD!Y35</f>
        <v>1</v>
      </c>
      <c r="Z34" s="176">
        <f>USD!Z35</f>
        <v>0.9</v>
      </c>
      <c r="AA34" s="176">
        <f>USD!AA35</f>
        <v>0.85</v>
      </c>
    </row>
    <row r="35" spans="15:27" ht="12.75">
      <c r="O35" s="87" t="str">
        <f>USD!O36</f>
        <v>г. Белгород</v>
      </c>
      <c r="P35" s="88">
        <f>USD!P36</f>
        <v>100</v>
      </c>
      <c r="Q35" s="88">
        <f>USD!Q36</f>
        <v>85</v>
      </c>
      <c r="R35" s="176">
        <f>USD!R36</f>
        <v>0.9</v>
      </c>
      <c r="S35" s="176">
        <f>USD!S36</f>
        <v>0.85</v>
      </c>
      <c r="T35" s="176">
        <f>USD!T36</f>
        <v>0.7</v>
      </c>
      <c r="U35" s="176">
        <f>USD!U36</f>
        <v>0.85</v>
      </c>
      <c r="V35" s="176">
        <f>USD!V36</f>
        <v>0.7</v>
      </c>
      <c r="W35" s="176">
        <f>USD!W36</f>
        <v>0.9</v>
      </c>
      <c r="X35" s="176">
        <f>USD!X36</f>
        <v>0.95</v>
      </c>
      <c r="Y35" s="176">
        <f>USD!Y36</f>
        <v>1</v>
      </c>
      <c r="Z35" s="176">
        <f>USD!Z36</f>
        <v>0.9</v>
      </c>
      <c r="AA35" s="176">
        <f>USD!AA36</f>
        <v>0.85</v>
      </c>
    </row>
    <row r="36" spans="15:27" ht="12.75">
      <c r="O36" s="87" t="str">
        <f>USD!O37</f>
        <v>Владимирская область (не включая г. Владимир)</v>
      </c>
      <c r="P36" s="88">
        <f>USD!P37</f>
        <v>100</v>
      </c>
      <c r="Q36" s="88">
        <f>USD!Q37</f>
        <v>85</v>
      </c>
      <c r="R36" s="176">
        <f>USD!R37</f>
        <v>0.85</v>
      </c>
      <c r="S36" s="176">
        <f>USD!S37</f>
        <v>0.85</v>
      </c>
      <c r="T36" s="176">
        <f>USD!T37</f>
        <v>0.7</v>
      </c>
      <c r="U36" s="176">
        <f>USD!U37</f>
        <v>0.85</v>
      </c>
      <c r="V36" s="176">
        <f>USD!V37</f>
        <v>0.7</v>
      </c>
      <c r="W36" s="176">
        <f>USD!W37</f>
        <v>0.85</v>
      </c>
      <c r="X36" s="176">
        <f>USD!X37</f>
        <v>0.95</v>
      </c>
      <c r="Y36" s="176">
        <f>USD!Y37</f>
        <v>1</v>
      </c>
      <c r="Z36" s="176">
        <f>USD!Z37</f>
        <v>0.9</v>
      </c>
      <c r="AA36" s="176">
        <f>USD!AA37</f>
        <v>0.85</v>
      </c>
    </row>
    <row r="37" spans="15:27" ht="12.75">
      <c r="O37" s="87" t="str">
        <f>USD!O38</f>
        <v>г. Владимир</v>
      </c>
      <c r="P37" s="88">
        <f>USD!P38</f>
        <v>100</v>
      </c>
      <c r="Q37" s="88">
        <f>USD!Q38</f>
        <v>85</v>
      </c>
      <c r="R37" s="176">
        <f>USD!R38</f>
        <v>0.9</v>
      </c>
      <c r="S37" s="176">
        <f>USD!S38</f>
        <v>0.85</v>
      </c>
      <c r="T37" s="176">
        <f>USD!T38</f>
        <v>0.7</v>
      </c>
      <c r="U37" s="176">
        <f>USD!U38</f>
        <v>0.85</v>
      </c>
      <c r="V37" s="176">
        <f>USD!V38</f>
        <v>0.7</v>
      </c>
      <c r="W37" s="176">
        <f>USD!W38</f>
        <v>0.9</v>
      </c>
      <c r="X37" s="176">
        <f>USD!X38</f>
        <v>0.95</v>
      </c>
      <c r="Y37" s="176">
        <f>USD!Y38</f>
        <v>1</v>
      </c>
      <c r="Z37" s="176">
        <f>USD!Z38</f>
        <v>0.9</v>
      </c>
      <c r="AA37" s="176">
        <f>USD!AA38</f>
        <v>0.85</v>
      </c>
    </row>
    <row r="38" spans="15:27" ht="12.75">
      <c r="O38" s="87" t="str">
        <f>USD!O39</f>
        <v>Волгоградская область (не включая г. Волгоград)</v>
      </c>
      <c r="P38" s="88">
        <f>USD!P39</f>
        <v>100</v>
      </c>
      <c r="Q38" s="88">
        <f>USD!Q39</f>
        <v>85</v>
      </c>
      <c r="R38" s="176">
        <f>USD!R39</f>
        <v>0.85</v>
      </c>
      <c r="S38" s="176">
        <f>USD!S39</f>
        <v>0.85</v>
      </c>
      <c r="T38" s="176">
        <f>USD!T39</f>
        <v>0.7</v>
      </c>
      <c r="U38" s="176">
        <f>USD!U39</f>
        <v>0.85</v>
      </c>
      <c r="V38" s="176">
        <f>USD!V39</f>
        <v>0.7</v>
      </c>
      <c r="W38" s="176">
        <f>USD!W39</f>
        <v>0.85</v>
      </c>
      <c r="X38" s="176">
        <f>USD!X39</f>
        <v>0.95</v>
      </c>
      <c r="Y38" s="176">
        <f>USD!Y39</f>
        <v>1</v>
      </c>
      <c r="Z38" s="176">
        <f>USD!Z39</f>
        <v>0.9</v>
      </c>
      <c r="AA38" s="176">
        <f>USD!AA39</f>
        <v>0.85</v>
      </c>
    </row>
    <row r="39" spans="15:27" ht="12.75">
      <c r="O39" s="87" t="str">
        <f>USD!O40</f>
        <v>г. Волгоград</v>
      </c>
      <c r="P39" s="88">
        <f>USD!P40</f>
        <v>100</v>
      </c>
      <c r="Q39" s="88">
        <f>USD!Q40</f>
        <v>85</v>
      </c>
      <c r="R39" s="176">
        <f>USD!R40</f>
        <v>0.9</v>
      </c>
      <c r="S39" s="176">
        <f>USD!S40</f>
        <v>0.85</v>
      </c>
      <c r="T39" s="176">
        <f>USD!T40</f>
        <v>0.7</v>
      </c>
      <c r="U39" s="176">
        <f>USD!U40</f>
        <v>0.85</v>
      </c>
      <c r="V39" s="176">
        <f>USD!V40</f>
        <v>0.7</v>
      </c>
      <c r="W39" s="176">
        <f>USD!W40</f>
        <v>0.9</v>
      </c>
      <c r="X39" s="176">
        <f>USD!X40</f>
        <v>0.95</v>
      </c>
      <c r="Y39" s="176">
        <f>USD!Y40</f>
        <v>1</v>
      </c>
      <c r="Z39" s="176">
        <f>USD!Z40</f>
        <v>0.9</v>
      </c>
      <c r="AA39" s="176">
        <f>USD!AA40</f>
        <v>0.85</v>
      </c>
    </row>
    <row r="40" spans="15:27" ht="12.75">
      <c r="O40" s="87" t="str">
        <f>USD!O41</f>
        <v>г. Вологда</v>
      </c>
      <c r="P40" s="88">
        <f>USD!P41</f>
        <v>120</v>
      </c>
      <c r="Q40" s="88">
        <f>USD!Q41</f>
        <v>100</v>
      </c>
      <c r="R40" s="176">
        <f>USD!R41</f>
        <v>0.9</v>
      </c>
      <c r="S40" s="176">
        <f>USD!S41</f>
        <v>0.85</v>
      </c>
      <c r="T40" s="176">
        <f>USD!T41</f>
        <v>0.7</v>
      </c>
      <c r="U40" s="176">
        <f>USD!U41</f>
        <v>0.85</v>
      </c>
      <c r="V40" s="176">
        <f>USD!V41</f>
        <v>0.7</v>
      </c>
      <c r="W40" s="176">
        <f>USD!W41</f>
        <v>0.9</v>
      </c>
      <c r="X40" s="176">
        <f>USD!X41</f>
        <v>0.95</v>
      </c>
      <c r="Y40" s="176">
        <f>USD!Y41</f>
        <v>1</v>
      </c>
      <c r="Z40" s="176">
        <f>USD!Z41</f>
        <v>0.9</v>
      </c>
      <c r="AA40" s="176">
        <f>USD!AA41</f>
        <v>0.85</v>
      </c>
    </row>
    <row r="41" spans="15:27" ht="12.75">
      <c r="O41" s="87" t="str">
        <f>USD!O42</f>
        <v>Воронежская область (включая г. Воронеж)</v>
      </c>
      <c r="P41" s="88">
        <f>USD!P42</f>
        <v>100</v>
      </c>
      <c r="Q41" s="88">
        <f>USD!Q42</f>
        <v>85</v>
      </c>
      <c r="R41" s="176">
        <f>USD!R42</f>
        <v>0.85</v>
      </c>
      <c r="S41" s="176">
        <f>USD!S42</f>
        <v>0.85</v>
      </c>
      <c r="T41" s="176">
        <f>USD!T42</f>
        <v>0.7</v>
      </c>
      <c r="U41" s="176">
        <f>USD!U42</f>
        <v>0.85</v>
      </c>
      <c r="V41" s="176">
        <f>USD!V42</f>
        <v>0.7</v>
      </c>
      <c r="W41" s="176">
        <f>USD!W42</f>
        <v>0.85</v>
      </c>
      <c r="X41" s="176">
        <f>USD!X42</f>
        <v>0.95</v>
      </c>
      <c r="Y41" s="176">
        <f>USD!Y42</f>
        <v>1</v>
      </c>
      <c r="Z41" s="176">
        <f>USD!Z42</f>
        <v>0.9</v>
      </c>
      <c r="AA41" s="176">
        <f>USD!AA42</f>
        <v>0.85</v>
      </c>
    </row>
    <row r="42" spans="15:27" ht="12.75">
      <c r="O42" s="87" t="str">
        <f>USD!O43</f>
        <v>Иркутская область (не включая г. Иркутск и г. Ангарск)</v>
      </c>
      <c r="P42" s="88">
        <f>USD!P43</f>
        <v>120</v>
      </c>
      <c r="Q42" s="88">
        <f>USD!Q43</f>
        <v>100</v>
      </c>
      <c r="R42" s="176">
        <f>USD!R43</f>
        <v>0.85</v>
      </c>
      <c r="S42" s="176">
        <f>USD!S43</f>
        <v>0.85</v>
      </c>
      <c r="T42" s="176">
        <f>USD!T43</f>
        <v>0.7</v>
      </c>
      <c r="U42" s="176">
        <f>USD!U43</f>
        <v>0.85</v>
      </c>
      <c r="V42" s="176">
        <f>USD!V43</f>
        <v>0.7</v>
      </c>
      <c r="W42" s="176">
        <f>USD!W43</f>
        <v>0.85</v>
      </c>
      <c r="X42" s="176">
        <f>USD!X43</f>
        <v>0.95</v>
      </c>
      <c r="Y42" s="176">
        <f>USD!Y43</f>
        <v>1</v>
      </c>
      <c r="Z42" s="176">
        <f>USD!Z43</f>
        <v>0.9</v>
      </c>
      <c r="AA42" s="176">
        <f>USD!AA43</f>
        <v>0.85</v>
      </c>
    </row>
    <row r="43" spans="15:27" ht="12.75">
      <c r="O43" s="87" t="str">
        <f>USD!O44</f>
        <v>г. Иркутск</v>
      </c>
      <c r="P43" s="88">
        <f>USD!P44</f>
        <v>120</v>
      </c>
      <c r="Q43" s="88">
        <f>USD!Q44</f>
        <v>100</v>
      </c>
      <c r="R43" s="176">
        <f>USD!R44</f>
        <v>0.9</v>
      </c>
      <c r="S43" s="176">
        <f>USD!S44</f>
        <v>0.85</v>
      </c>
      <c r="T43" s="176">
        <f>USD!T44</f>
        <v>0.7</v>
      </c>
      <c r="U43" s="176">
        <f>USD!U44</f>
        <v>0.85</v>
      </c>
      <c r="V43" s="176">
        <f>USD!V44</f>
        <v>0.7</v>
      </c>
      <c r="W43" s="176">
        <f>USD!W44</f>
        <v>0.9</v>
      </c>
      <c r="X43" s="176">
        <f>USD!X44</f>
        <v>0.95</v>
      </c>
      <c r="Y43" s="176">
        <f>USD!Y44</f>
        <v>1</v>
      </c>
      <c r="Z43" s="176">
        <f>USD!Z44</f>
        <v>0.9</v>
      </c>
      <c r="AA43" s="176">
        <f>USD!AA44</f>
        <v>0.85</v>
      </c>
    </row>
    <row r="44" spans="15:27" ht="12.75">
      <c r="O44" s="87" t="str">
        <f>USD!O45</f>
        <v>г. Ангарск</v>
      </c>
      <c r="P44" s="88">
        <f>USD!P45</f>
        <v>120</v>
      </c>
      <c r="Q44" s="88">
        <f>USD!Q45</f>
        <v>100</v>
      </c>
      <c r="R44" s="176">
        <f>USD!R45</f>
        <v>0.9</v>
      </c>
      <c r="S44" s="176">
        <f>USD!S45</f>
        <v>0.85</v>
      </c>
      <c r="T44" s="176">
        <f>USD!T45</f>
        <v>0.7</v>
      </c>
      <c r="U44" s="176">
        <f>USD!U45</f>
        <v>0.85</v>
      </c>
      <c r="V44" s="176">
        <f>USD!V45</f>
        <v>0.7</v>
      </c>
      <c r="W44" s="176">
        <f>USD!W45</f>
        <v>0.9</v>
      </c>
      <c r="X44" s="176">
        <f>USD!X45</f>
        <v>0.95</v>
      </c>
      <c r="Y44" s="176">
        <f>USD!Y45</f>
        <v>1</v>
      </c>
      <c r="Z44" s="176">
        <f>USD!Z45</f>
        <v>0.9</v>
      </c>
      <c r="AA44" s="176">
        <f>USD!AA45</f>
        <v>0.85</v>
      </c>
    </row>
    <row r="45" spans="15:27" ht="12.75">
      <c r="O45" s="87" t="str">
        <f>USD!O46</f>
        <v>Калининградская область (не включая г. Калининград)</v>
      </c>
      <c r="P45" s="88">
        <f>USD!P46</f>
        <v>100</v>
      </c>
      <c r="Q45" s="88">
        <f>USD!Q46</f>
        <v>85</v>
      </c>
      <c r="R45" s="176">
        <f>USD!R46</f>
        <v>0.85</v>
      </c>
      <c r="S45" s="176">
        <f>USD!S46</f>
        <v>0.85</v>
      </c>
      <c r="T45" s="176">
        <f>USD!T46</f>
        <v>0.7</v>
      </c>
      <c r="U45" s="176">
        <f>USD!U46</f>
        <v>0.85</v>
      </c>
      <c r="V45" s="176">
        <f>USD!V46</f>
        <v>0.7</v>
      </c>
      <c r="W45" s="176">
        <f>USD!W46</f>
        <v>0.85</v>
      </c>
      <c r="X45" s="176">
        <f>USD!X46</f>
        <v>0.95</v>
      </c>
      <c r="Y45" s="176">
        <f>USD!Y46</f>
        <v>1</v>
      </c>
      <c r="Z45" s="176">
        <f>USD!Z46</f>
        <v>0.9</v>
      </c>
      <c r="AA45" s="176">
        <f>USD!AA46</f>
        <v>0.85</v>
      </c>
    </row>
    <row r="46" spans="15:27" ht="12.75">
      <c r="O46" s="87" t="str">
        <f>USD!O47</f>
        <v>г. Калининград</v>
      </c>
      <c r="P46" s="88">
        <f>USD!P47</f>
        <v>100</v>
      </c>
      <c r="Q46" s="88">
        <f>USD!Q47</f>
        <v>85</v>
      </c>
      <c r="R46" s="176">
        <f>USD!R47</f>
        <v>0.9</v>
      </c>
      <c r="S46" s="176">
        <f>USD!S47</f>
        <v>0.85</v>
      </c>
      <c r="T46" s="176">
        <f>USD!T47</f>
        <v>0.7</v>
      </c>
      <c r="U46" s="176">
        <f>USD!U47</f>
        <v>0.85</v>
      </c>
      <c r="V46" s="176">
        <f>USD!V47</f>
        <v>0.7</v>
      </c>
      <c r="W46" s="176">
        <f>USD!W47</f>
        <v>0.9</v>
      </c>
      <c r="X46" s="176">
        <f>USD!X47</f>
        <v>0.95</v>
      </c>
      <c r="Y46" s="176">
        <f>USD!Y47</f>
        <v>1</v>
      </c>
      <c r="Z46" s="176">
        <f>USD!Z47</f>
        <v>0.9</v>
      </c>
      <c r="AA46" s="176">
        <f>USD!AA47</f>
        <v>0.85</v>
      </c>
    </row>
    <row r="47" spans="15:27" ht="12.75">
      <c r="O47" s="87" t="str">
        <f>USD!O48</f>
        <v>Кемеровская область (не включая г. Кемерово)</v>
      </c>
      <c r="P47" s="88">
        <f>USD!P48</f>
        <v>100</v>
      </c>
      <c r="Q47" s="88">
        <f>USD!Q48</f>
        <v>85</v>
      </c>
      <c r="R47" s="176">
        <f>USD!R48</f>
        <v>0.85</v>
      </c>
      <c r="S47" s="176">
        <f>USD!S48</f>
        <v>0.85</v>
      </c>
      <c r="T47" s="176">
        <f>USD!T48</f>
        <v>0.7</v>
      </c>
      <c r="U47" s="176">
        <f>USD!U48</f>
        <v>0.85</v>
      </c>
      <c r="V47" s="176">
        <f>USD!V48</f>
        <v>0.7</v>
      </c>
      <c r="W47" s="176">
        <f>USD!W48</f>
        <v>0.85</v>
      </c>
      <c r="X47" s="176">
        <f>USD!X48</f>
        <v>0.95</v>
      </c>
      <c r="Y47" s="176">
        <f>USD!Y48</f>
        <v>1</v>
      </c>
      <c r="Z47" s="176">
        <f>USD!Z48</f>
        <v>0.9</v>
      </c>
      <c r="AA47" s="176">
        <f>USD!AA48</f>
        <v>0.85</v>
      </c>
    </row>
    <row r="48" spans="15:27" ht="12.75">
      <c r="O48" s="87" t="str">
        <f>USD!O49</f>
        <v>г. Кемерово</v>
      </c>
      <c r="P48" s="88">
        <f>USD!P49</f>
        <v>100</v>
      </c>
      <c r="Q48" s="88">
        <f>USD!Q49</f>
        <v>85</v>
      </c>
      <c r="R48" s="176">
        <f>USD!R49</f>
        <v>0.9</v>
      </c>
      <c r="S48" s="176">
        <f>USD!S49</f>
        <v>0.85</v>
      </c>
      <c r="T48" s="176">
        <f>USD!T49</f>
        <v>0.7</v>
      </c>
      <c r="U48" s="176">
        <f>USD!U49</f>
        <v>0.85</v>
      </c>
      <c r="V48" s="176">
        <f>USD!V49</f>
        <v>0.7</v>
      </c>
      <c r="W48" s="176">
        <f>USD!W49</f>
        <v>0.9</v>
      </c>
      <c r="X48" s="176">
        <f>USD!X49</f>
        <v>0.95</v>
      </c>
      <c r="Y48" s="176">
        <f>USD!Y49</f>
        <v>1</v>
      </c>
      <c r="Z48" s="176">
        <f>USD!Z49</f>
        <v>0.9</v>
      </c>
      <c r="AA48" s="176">
        <f>USD!AA49</f>
        <v>0.85</v>
      </c>
    </row>
    <row r="49" spans="15:27" ht="12.75">
      <c r="O49" s="87" t="str">
        <f>USD!O50</f>
        <v>Костромская область (не включая г. Кострома)</v>
      </c>
      <c r="P49" s="88">
        <f>USD!P50</f>
        <v>100</v>
      </c>
      <c r="Q49" s="88">
        <f>USD!Q50</f>
        <v>85</v>
      </c>
      <c r="R49" s="176">
        <f>USD!R50</f>
        <v>0.85</v>
      </c>
      <c r="S49" s="176">
        <f>USD!S50</f>
        <v>0.85</v>
      </c>
      <c r="T49" s="176">
        <f>USD!T50</f>
        <v>0.7</v>
      </c>
      <c r="U49" s="176">
        <f>USD!U50</f>
        <v>0.85</v>
      </c>
      <c r="V49" s="176">
        <f>USD!V50</f>
        <v>0.7</v>
      </c>
      <c r="W49" s="176">
        <f>USD!W50</f>
        <v>0.85</v>
      </c>
      <c r="X49" s="176">
        <f>USD!X50</f>
        <v>0.95</v>
      </c>
      <c r="Y49" s="176">
        <f>USD!Y50</f>
        <v>1</v>
      </c>
      <c r="Z49" s="176">
        <f>USD!Z50</f>
        <v>0.9</v>
      </c>
      <c r="AA49" s="176">
        <f>USD!AA50</f>
        <v>0.85</v>
      </c>
    </row>
    <row r="50" spans="15:27" ht="12.75">
      <c r="O50" s="87" t="str">
        <f>USD!O51</f>
        <v>г. Кострома</v>
      </c>
      <c r="P50" s="88">
        <f>USD!P51</f>
        <v>100</v>
      </c>
      <c r="Q50" s="88">
        <f>USD!Q51</f>
        <v>85</v>
      </c>
      <c r="R50" s="176">
        <f>USD!R51</f>
        <v>0.9</v>
      </c>
      <c r="S50" s="176">
        <f>USD!S51</f>
        <v>0.85</v>
      </c>
      <c r="T50" s="176">
        <f>USD!T51</f>
        <v>0.7</v>
      </c>
      <c r="U50" s="176">
        <f>USD!U51</f>
        <v>0.85</v>
      </c>
      <c r="V50" s="176">
        <f>USD!V51</f>
        <v>0.7</v>
      </c>
      <c r="W50" s="176">
        <f>USD!W51</f>
        <v>0.9</v>
      </c>
      <c r="X50" s="176">
        <f>USD!X51</f>
        <v>0.95</v>
      </c>
      <c r="Y50" s="176">
        <f>USD!Y51</f>
        <v>1</v>
      </c>
      <c r="Z50" s="176">
        <f>USD!Z51</f>
        <v>0.9</v>
      </c>
      <c r="AA50" s="176">
        <f>USD!AA51</f>
        <v>0.85</v>
      </c>
    </row>
    <row r="51" spans="15:27" ht="12.75">
      <c r="O51" s="87" t="str">
        <f>USD!O52</f>
        <v>Краснодарский край (не включая г. Краснодар и г. Сочи)</v>
      </c>
      <c r="P51" s="88">
        <f>USD!P52</f>
        <v>100</v>
      </c>
      <c r="Q51" s="88">
        <f>USD!Q52</f>
        <v>85</v>
      </c>
      <c r="R51" s="176">
        <f>USD!R52</f>
        <v>0.85</v>
      </c>
      <c r="S51" s="176">
        <f>USD!S52</f>
        <v>0.85</v>
      </c>
      <c r="T51" s="176">
        <f>USD!T52</f>
        <v>0.7</v>
      </c>
      <c r="U51" s="176">
        <f>USD!U52</f>
        <v>0.85</v>
      </c>
      <c r="V51" s="176">
        <f>USD!V52</f>
        <v>0.7</v>
      </c>
      <c r="W51" s="176">
        <f>USD!W52</f>
        <v>0.85</v>
      </c>
      <c r="X51" s="176">
        <f>USD!X52</f>
        <v>0.95</v>
      </c>
      <c r="Y51" s="176">
        <f>USD!Y52</f>
        <v>1</v>
      </c>
      <c r="Z51" s="176">
        <f>USD!Z52</f>
        <v>0.9</v>
      </c>
      <c r="AA51" s="176">
        <f>USD!AA52</f>
        <v>0.85</v>
      </c>
    </row>
    <row r="52" spans="15:27" ht="12.75">
      <c r="O52" s="87" t="str">
        <f>USD!O53</f>
        <v>г. Краснодар</v>
      </c>
      <c r="P52" s="88">
        <f>USD!P53</f>
        <v>100</v>
      </c>
      <c r="Q52" s="88">
        <f>USD!Q53</f>
        <v>85</v>
      </c>
      <c r="R52" s="176">
        <f>USD!R53</f>
        <v>0.9</v>
      </c>
      <c r="S52" s="176">
        <f>USD!S53</f>
        <v>0.85</v>
      </c>
      <c r="T52" s="176">
        <f>USD!T53</f>
        <v>0.7</v>
      </c>
      <c r="U52" s="176">
        <f>USD!U53</f>
        <v>0.85</v>
      </c>
      <c r="V52" s="176">
        <f>USD!V53</f>
        <v>0.7</v>
      </c>
      <c r="W52" s="176">
        <f>USD!W53</f>
        <v>0.9</v>
      </c>
      <c r="X52" s="176">
        <f>USD!X53</f>
        <v>0.95</v>
      </c>
      <c r="Y52" s="176">
        <f>USD!Y53</f>
        <v>1</v>
      </c>
      <c r="Z52" s="176">
        <f>USD!Z53</f>
        <v>0.9</v>
      </c>
      <c r="AA52" s="176">
        <f>USD!AA53</f>
        <v>0.85</v>
      </c>
    </row>
    <row r="53" spans="15:27" ht="12.75">
      <c r="O53" s="87" t="str">
        <f>USD!O54</f>
        <v>г. Сочи</v>
      </c>
      <c r="P53" s="88">
        <f>USD!P54</f>
        <v>100</v>
      </c>
      <c r="Q53" s="88">
        <f>USD!Q54</f>
        <v>85</v>
      </c>
      <c r="R53" s="176">
        <f>USD!R54</f>
        <v>0.9</v>
      </c>
      <c r="S53" s="176">
        <f>USD!S54</f>
        <v>0.85</v>
      </c>
      <c r="T53" s="176">
        <f>USD!T54</f>
        <v>0.7</v>
      </c>
      <c r="U53" s="176">
        <f>USD!U54</f>
        <v>0.85</v>
      </c>
      <c r="V53" s="176">
        <f>USD!V54</f>
        <v>0.7</v>
      </c>
      <c r="W53" s="176">
        <f>USD!W54</f>
        <v>0.9</v>
      </c>
      <c r="X53" s="176">
        <f>USD!X54</f>
        <v>0.95</v>
      </c>
      <c r="Y53" s="176">
        <f>USD!Y54</f>
        <v>1</v>
      </c>
      <c r="Z53" s="176">
        <f>USD!Z54</f>
        <v>0.9</v>
      </c>
      <c r="AA53" s="176">
        <f>USD!AA54</f>
        <v>0.85</v>
      </c>
    </row>
    <row r="54" spans="15:27" ht="12.75">
      <c r="O54" s="87" t="str">
        <f>USD!O55</f>
        <v>Красноярский край (не включая г. Красноярск)</v>
      </c>
      <c r="P54" s="88">
        <f>USD!P55</f>
        <v>100</v>
      </c>
      <c r="Q54" s="88">
        <f>USD!Q55</f>
        <v>85</v>
      </c>
      <c r="R54" s="176">
        <f>USD!R55</f>
        <v>0.85</v>
      </c>
      <c r="S54" s="176">
        <f>USD!S55</f>
        <v>0.85</v>
      </c>
      <c r="T54" s="176">
        <f>USD!T55</f>
        <v>0.7</v>
      </c>
      <c r="U54" s="176">
        <f>USD!U55</f>
        <v>0.85</v>
      </c>
      <c r="V54" s="176">
        <f>USD!V55</f>
        <v>0.7</v>
      </c>
      <c r="W54" s="176">
        <f>USD!W55</f>
        <v>0.85</v>
      </c>
      <c r="X54" s="176">
        <f>USD!X55</f>
        <v>0.95</v>
      </c>
      <c r="Y54" s="176">
        <f>USD!Y55</f>
        <v>1</v>
      </c>
      <c r="Z54" s="176">
        <f>USD!Z55</f>
        <v>0.9</v>
      </c>
      <c r="AA54" s="176">
        <f>USD!AA55</f>
        <v>0.85</v>
      </c>
    </row>
    <row r="55" spans="15:27" ht="12.75">
      <c r="O55" s="87" t="str">
        <f>USD!O56</f>
        <v>г. Красноярск</v>
      </c>
      <c r="P55" s="88">
        <f>USD!P56</f>
        <v>100</v>
      </c>
      <c r="Q55" s="88">
        <f>USD!Q56</f>
        <v>85</v>
      </c>
      <c r="R55" s="176">
        <f>USD!R56</f>
        <v>1</v>
      </c>
      <c r="S55" s="176">
        <f>USD!S56</f>
        <v>0.95</v>
      </c>
      <c r="T55" s="176">
        <f>USD!T56</f>
        <v>0.9</v>
      </c>
      <c r="U55" s="176">
        <f>USD!U56</f>
        <v>0.95</v>
      </c>
      <c r="V55" s="176">
        <f>USD!V56</f>
        <v>0.95</v>
      </c>
      <c r="W55" s="176">
        <f>USD!W56</f>
        <v>1</v>
      </c>
      <c r="X55" s="176">
        <f>USD!X56</f>
        <v>0.95</v>
      </c>
      <c r="Y55" s="176">
        <f>USD!Y56</f>
        <v>1</v>
      </c>
      <c r="Z55" s="176">
        <f>USD!Z56</f>
        <v>0.9</v>
      </c>
      <c r="AA55" s="176">
        <f>USD!AA56</f>
        <v>0.85</v>
      </c>
    </row>
    <row r="56" spans="15:27" ht="12.75">
      <c r="O56" s="87" t="str">
        <f>USD!O57</f>
        <v>Курская область (не включая г. Курск)</v>
      </c>
      <c r="P56" s="88">
        <f>USD!P57</f>
        <v>100</v>
      </c>
      <c r="Q56" s="88">
        <f>USD!Q57</f>
        <v>85</v>
      </c>
      <c r="R56" s="176">
        <f>USD!R57</f>
        <v>0.85</v>
      </c>
      <c r="S56" s="176">
        <f>USD!S57</f>
        <v>0.85</v>
      </c>
      <c r="T56" s="176">
        <f>USD!T57</f>
        <v>0.7</v>
      </c>
      <c r="U56" s="176">
        <f>USD!U57</f>
        <v>0.85</v>
      </c>
      <c r="V56" s="176">
        <f>USD!V57</f>
        <v>0.7</v>
      </c>
      <c r="W56" s="176">
        <f>USD!W57</f>
        <v>0.85</v>
      </c>
      <c r="X56" s="176">
        <f>USD!X57</f>
        <v>0.95</v>
      </c>
      <c r="Y56" s="176">
        <f>USD!Y57</f>
        <v>1</v>
      </c>
      <c r="Z56" s="176">
        <f>USD!Z57</f>
        <v>0.9</v>
      </c>
      <c r="AA56" s="176">
        <f>USD!AA57</f>
        <v>0.85</v>
      </c>
    </row>
    <row r="57" spans="15:27" ht="12.75">
      <c r="O57" s="87" t="str">
        <f>USD!O58</f>
        <v>г. Курск</v>
      </c>
      <c r="P57" s="88">
        <f>USD!P58</f>
        <v>100</v>
      </c>
      <c r="Q57" s="88">
        <f>USD!Q58</f>
        <v>85</v>
      </c>
      <c r="R57" s="176">
        <f>USD!R58</f>
        <v>0.9</v>
      </c>
      <c r="S57" s="176">
        <f>USD!S58</f>
        <v>0.85</v>
      </c>
      <c r="T57" s="176">
        <f>USD!T58</f>
        <v>0.7</v>
      </c>
      <c r="U57" s="176">
        <f>USD!U58</f>
        <v>0.85</v>
      </c>
      <c r="V57" s="176">
        <f>USD!V58</f>
        <v>0.7</v>
      </c>
      <c r="W57" s="176">
        <f>USD!W58</f>
        <v>0.9</v>
      </c>
      <c r="X57" s="176">
        <f>USD!X58</f>
        <v>0.95</v>
      </c>
      <c r="Y57" s="176">
        <f>USD!Y58</f>
        <v>1</v>
      </c>
      <c r="Z57" s="176">
        <f>USD!Z58</f>
        <v>0.9</v>
      </c>
      <c r="AA57" s="176">
        <f>USD!AA58</f>
        <v>0.85</v>
      </c>
    </row>
    <row r="58" spans="15:27" ht="12.75">
      <c r="O58" s="87" t="str">
        <f>USD!O59</f>
        <v>Ленинградская область (включая г. Санкт-Петербург)</v>
      </c>
      <c r="P58" s="88">
        <f>USD!P59</f>
        <v>120</v>
      </c>
      <c r="Q58" s="88">
        <f>USD!Q59</f>
        <v>100</v>
      </c>
      <c r="R58" s="176">
        <f>USD!R59</f>
        <v>1</v>
      </c>
      <c r="S58" s="176">
        <f>USD!S59</f>
        <v>0.95</v>
      </c>
      <c r="T58" s="176">
        <f>USD!T59</f>
        <v>0.9</v>
      </c>
      <c r="U58" s="176">
        <f>USD!U59</f>
        <v>0.95</v>
      </c>
      <c r="V58" s="176">
        <f>USD!V59</f>
        <v>0.95</v>
      </c>
      <c r="W58" s="176">
        <f>USD!W59</f>
        <v>1</v>
      </c>
      <c r="X58" s="176">
        <f>USD!X59</f>
        <v>0.95</v>
      </c>
      <c r="Y58" s="176">
        <f>USD!Y59</f>
        <v>1</v>
      </c>
      <c r="Z58" s="176">
        <f>USD!Z59</f>
        <v>0.9</v>
      </c>
      <c r="AA58" s="176">
        <f>USD!AA59</f>
        <v>0.85</v>
      </c>
    </row>
    <row r="59" spans="15:27" ht="12.75">
      <c r="O59" s="87" t="str">
        <f>USD!O60</f>
        <v>Липецкая область (не включая г. Липецк)</v>
      </c>
      <c r="P59" s="88">
        <f>USD!P60</f>
        <v>100</v>
      </c>
      <c r="Q59" s="88">
        <f>USD!Q60</f>
        <v>85</v>
      </c>
      <c r="R59" s="176">
        <f>USD!R60</f>
        <v>0.85</v>
      </c>
      <c r="S59" s="176">
        <f>USD!S60</f>
        <v>0.85</v>
      </c>
      <c r="T59" s="176">
        <f>USD!T60</f>
        <v>0.7</v>
      </c>
      <c r="U59" s="176">
        <f>USD!U60</f>
        <v>0.85</v>
      </c>
      <c r="V59" s="176">
        <f>USD!V60</f>
        <v>0.7</v>
      </c>
      <c r="W59" s="176">
        <f>USD!W60</f>
        <v>0.85</v>
      </c>
      <c r="X59" s="176">
        <f>USD!X60</f>
        <v>0.95</v>
      </c>
      <c r="Y59" s="176">
        <f>USD!Y60</f>
        <v>1</v>
      </c>
      <c r="Z59" s="176">
        <f>USD!Z60</f>
        <v>0.9</v>
      </c>
      <c r="AA59" s="176">
        <f>USD!AA60</f>
        <v>0.85</v>
      </c>
    </row>
    <row r="60" spans="15:27" ht="12.75">
      <c r="O60" s="87" t="str">
        <f>USD!O61</f>
        <v>г. Липецк</v>
      </c>
      <c r="P60" s="88">
        <f>USD!P61</f>
        <v>100</v>
      </c>
      <c r="Q60" s="88">
        <f>USD!Q61</f>
        <v>85</v>
      </c>
      <c r="R60" s="176">
        <f>USD!R61</f>
        <v>0.9</v>
      </c>
      <c r="S60" s="176">
        <f>USD!S61</f>
        <v>0.85</v>
      </c>
      <c r="T60" s="176">
        <f>USD!T61</f>
        <v>0.7</v>
      </c>
      <c r="U60" s="176">
        <f>USD!U61</f>
        <v>0.85</v>
      </c>
      <c r="V60" s="176">
        <f>USD!V61</f>
        <v>0.7</v>
      </c>
      <c r="W60" s="176">
        <f>USD!W61</f>
        <v>0.9</v>
      </c>
      <c r="X60" s="176">
        <f>USD!X61</f>
        <v>0.95</v>
      </c>
      <c r="Y60" s="176">
        <f>USD!Y61</f>
        <v>1</v>
      </c>
      <c r="Z60" s="176">
        <f>USD!Z61</f>
        <v>0.9</v>
      </c>
      <c r="AA60" s="176">
        <f>USD!AA61</f>
        <v>0.85</v>
      </c>
    </row>
    <row r="61" spans="15:27" ht="12.75">
      <c r="O61" s="87" t="str">
        <f>USD!O62</f>
        <v>Нижегородская область (не включая г. Нижний Новгород)</v>
      </c>
      <c r="P61" s="88">
        <f>USD!P62</f>
        <v>100</v>
      </c>
      <c r="Q61" s="88">
        <f>USD!Q62</f>
        <v>85</v>
      </c>
      <c r="R61" s="176">
        <f>USD!R62</f>
        <v>0.85</v>
      </c>
      <c r="S61" s="176">
        <f>USD!S62</f>
        <v>0.85</v>
      </c>
      <c r="T61" s="176">
        <f>USD!T62</f>
        <v>0.7</v>
      </c>
      <c r="U61" s="176">
        <f>USD!U62</f>
        <v>0.85</v>
      </c>
      <c r="V61" s="176">
        <f>USD!V62</f>
        <v>0.7</v>
      </c>
      <c r="W61" s="176">
        <f>USD!W62</f>
        <v>0.85</v>
      </c>
      <c r="X61" s="176">
        <f>USD!X62</f>
        <v>0.95</v>
      </c>
      <c r="Y61" s="176">
        <f>USD!Y62</f>
        <v>1</v>
      </c>
      <c r="Z61" s="176">
        <f>USD!Z62</f>
        <v>0.9</v>
      </c>
      <c r="AA61" s="176">
        <f>USD!AA62</f>
        <v>0.85</v>
      </c>
    </row>
    <row r="62" spans="15:27" ht="12.75">
      <c r="O62" s="87" t="str">
        <f>USD!O63</f>
        <v>г. Нижний Новгород</v>
      </c>
      <c r="P62" s="88">
        <f>USD!P63</f>
        <v>100</v>
      </c>
      <c r="Q62" s="88">
        <f>USD!Q63</f>
        <v>85</v>
      </c>
      <c r="R62" s="176">
        <f>USD!R63</f>
        <v>1</v>
      </c>
      <c r="S62" s="176">
        <f>USD!S63</f>
        <v>0.95</v>
      </c>
      <c r="T62" s="176">
        <f>USD!T63</f>
        <v>0.9</v>
      </c>
      <c r="U62" s="176">
        <f>USD!U63</f>
        <v>0.95</v>
      </c>
      <c r="V62" s="176">
        <f>USD!V63</f>
        <v>0.95</v>
      </c>
      <c r="W62" s="176">
        <f>USD!W63</f>
        <v>1</v>
      </c>
      <c r="X62" s="176">
        <f>USD!X63</f>
        <v>0.95</v>
      </c>
      <c r="Y62" s="176">
        <f>USD!Y63</f>
        <v>1</v>
      </c>
      <c r="Z62" s="176">
        <f>USD!Z63</f>
        <v>0.9</v>
      </c>
      <c r="AA62" s="176">
        <f>USD!AA63</f>
        <v>0.85</v>
      </c>
    </row>
    <row r="63" spans="15:27" ht="12.75">
      <c r="O63" s="87" t="str">
        <f>USD!O64</f>
        <v>Новосибирская область (не включая г. Новосибирск)</v>
      </c>
      <c r="P63" s="88">
        <f>USD!P64</f>
        <v>100</v>
      </c>
      <c r="Q63" s="88">
        <f>USD!Q64</f>
        <v>85</v>
      </c>
      <c r="R63" s="176">
        <f>USD!R64</f>
        <v>0.85</v>
      </c>
      <c r="S63" s="176">
        <f>USD!S64</f>
        <v>0.85</v>
      </c>
      <c r="T63" s="176">
        <f>USD!T64</f>
        <v>0.7</v>
      </c>
      <c r="U63" s="176">
        <f>USD!U64</f>
        <v>0.85</v>
      </c>
      <c r="V63" s="176">
        <f>USD!V64</f>
        <v>0.7</v>
      </c>
      <c r="W63" s="176">
        <f>USD!W64</f>
        <v>0.85</v>
      </c>
      <c r="X63" s="176">
        <f>USD!X64</f>
        <v>0.95</v>
      </c>
      <c r="Y63" s="176">
        <f>USD!Y64</f>
        <v>1</v>
      </c>
      <c r="Z63" s="176">
        <f>USD!Z64</f>
        <v>0.9</v>
      </c>
      <c r="AA63" s="176">
        <f>USD!AA64</f>
        <v>0.85</v>
      </c>
    </row>
    <row r="64" spans="15:27" ht="12.75">
      <c r="O64" s="87" t="str">
        <f>USD!O65</f>
        <v>г. Новосибирск</v>
      </c>
      <c r="P64" s="88">
        <f>USD!P65</f>
        <v>100</v>
      </c>
      <c r="Q64" s="88">
        <f>USD!Q65</f>
        <v>85</v>
      </c>
      <c r="R64" s="176">
        <f>USD!R65</f>
        <v>1</v>
      </c>
      <c r="S64" s="176">
        <f>USD!S65</f>
        <v>0.95</v>
      </c>
      <c r="T64" s="176">
        <f>USD!T65</f>
        <v>0.9</v>
      </c>
      <c r="U64" s="176">
        <f>USD!U65</f>
        <v>0.95</v>
      </c>
      <c r="V64" s="176">
        <f>USD!V65</f>
        <v>0.95</v>
      </c>
      <c r="W64" s="176">
        <f>USD!W65</f>
        <v>1</v>
      </c>
      <c r="X64" s="176">
        <f>USD!X65</f>
        <v>0.95</v>
      </c>
      <c r="Y64" s="176">
        <f>USD!Y65</f>
        <v>1</v>
      </c>
      <c r="Z64" s="176">
        <f>USD!Z65</f>
        <v>0.9</v>
      </c>
      <c r="AA64" s="176">
        <f>USD!AA65</f>
        <v>0.85</v>
      </c>
    </row>
    <row r="65" spans="15:27" ht="12.75">
      <c r="O65" s="87" t="str">
        <f>USD!O66</f>
        <v>Омская область (не включая г. Омск)</v>
      </c>
      <c r="P65" s="88">
        <f>USD!P66</f>
        <v>100</v>
      </c>
      <c r="Q65" s="88">
        <f>USD!Q66</f>
        <v>85</v>
      </c>
      <c r="R65" s="176">
        <f>USD!R66</f>
        <v>0.85</v>
      </c>
      <c r="S65" s="176">
        <f>USD!S66</f>
        <v>0.85</v>
      </c>
      <c r="T65" s="176">
        <f>USD!T66</f>
        <v>0.7</v>
      </c>
      <c r="U65" s="176">
        <f>USD!U66</f>
        <v>0.85</v>
      </c>
      <c r="V65" s="176">
        <f>USD!V66</f>
        <v>0.7</v>
      </c>
      <c r="W65" s="176">
        <f>USD!W66</f>
        <v>0.85</v>
      </c>
      <c r="X65" s="176">
        <f>USD!X66</f>
        <v>0.95</v>
      </c>
      <c r="Y65" s="176">
        <f>USD!Y66</f>
        <v>1</v>
      </c>
      <c r="Z65" s="176">
        <f>USD!Z66</f>
        <v>0.9</v>
      </c>
      <c r="AA65" s="176">
        <f>USD!AA66</f>
        <v>0.85</v>
      </c>
    </row>
    <row r="66" spans="15:27" ht="12.75">
      <c r="O66" s="87" t="str">
        <f>USD!O67</f>
        <v>г. Омск</v>
      </c>
      <c r="P66" s="88">
        <f>USD!P67</f>
        <v>100</v>
      </c>
      <c r="Q66" s="88">
        <f>USD!Q67</f>
        <v>85</v>
      </c>
      <c r="R66" s="176">
        <f>USD!R67</f>
        <v>0.9</v>
      </c>
      <c r="S66" s="176">
        <f>USD!S67</f>
        <v>0.85</v>
      </c>
      <c r="T66" s="176">
        <f>USD!T67</f>
        <v>0.7</v>
      </c>
      <c r="U66" s="176">
        <f>USD!U67</f>
        <v>0.85</v>
      </c>
      <c r="V66" s="176">
        <f>USD!V67</f>
        <v>0.7</v>
      </c>
      <c r="W66" s="176">
        <f>USD!W67</f>
        <v>0.9</v>
      </c>
      <c r="X66" s="176">
        <f>USD!X67</f>
        <v>0.95</v>
      </c>
      <c r="Y66" s="176">
        <f>USD!Y67</f>
        <v>1</v>
      </c>
      <c r="Z66" s="176">
        <f>USD!Z67</f>
        <v>0.9</v>
      </c>
      <c r="AA66" s="176">
        <f>USD!AA67</f>
        <v>0.85</v>
      </c>
    </row>
    <row r="67" spans="15:27" ht="12.75">
      <c r="O67" s="87" t="str">
        <f>USD!O68</f>
        <v>Пермский край (не включая г. Пермь)</v>
      </c>
      <c r="P67" s="88">
        <f>USD!P68</f>
        <v>100</v>
      </c>
      <c r="Q67" s="88">
        <f>USD!Q68</f>
        <v>85</v>
      </c>
      <c r="R67" s="176">
        <f>USD!R68</f>
        <v>0.85</v>
      </c>
      <c r="S67" s="176">
        <f>USD!S68</f>
        <v>0.85</v>
      </c>
      <c r="T67" s="176">
        <f>USD!T68</f>
        <v>0.7</v>
      </c>
      <c r="U67" s="176">
        <f>USD!U68</f>
        <v>0.85</v>
      </c>
      <c r="V67" s="176">
        <f>USD!V68</f>
        <v>0.7</v>
      </c>
      <c r="W67" s="176">
        <f>USD!W68</f>
        <v>0.85</v>
      </c>
      <c r="X67" s="176">
        <f>USD!X68</f>
        <v>0.95</v>
      </c>
      <c r="Y67" s="176">
        <f>USD!Y68</f>
        <v>1</v>
      </c>
      <c r="Z67" s="176">
        <f>USD!Z68</f>
        <v>0.9</v>
      </c>
      <c r="AA67" s="176">
        <f>USD!AA68</f>
        <v>0.85</v>
      </c>
    </row>
    <row r="68" spans="15:27" ht="12.75">
      <c r="O68" s="87" t="str">
        <f>USD!O69</f>
        <v>г. Пермь</v>
      </c>
      <c r="P68" s="88">
        <f>USD!P69</f>
        <v>100</v>
      </c>
      <c r="Q68" s="88">
        <f>USD!Q69</f>
        <v>85</v>
      </c>
      <c r="R68" s="176">
        <f>USD!R69</f>
        <v>0.9</v>
      </c>
      <c r="S68" s="176">
        <f>USD!S69</f>
        <v>0.85</v>
      </c>
      <c r="T68" s="176">
        <f>USD!T69</f>
        <v>0.7</v>
      </c>
      <c r="U68" s="176">
        <f>USD!U69</f>
        <v>0.85</v>
      </c>
      <c r="V68" s="176">
        <f>USD!V69</f>
        <v>0.7</v>
      </c>
      <c r="W68" s="176">
        <f>USD!W69</f>
        <v>0.9</v>
      </c>
      <c r="X68" s="176">
        <f>USD!X69</f>
        <v>0.95</v>
      </c>
      <c r="Y68" s="176">
        <f>USD!Y69</f>
        <v>1</v>
      </c>
      <c r="Z68" s="176">
        <f>USD!Z69</f>
        <v>0.9</v>
      </c>
      <c r="AA68" s="176">
        <f>USD!AA69</f>
        <v>0.85</v>
      </c>
    </row>
    <row r="69" spans="15:27" ht="12.75">
      <c r="O69" s="87" t="str">
        <f>USD!O70</f>
        <v>Приморский край (включая г. Владивосток)</v>
      </c>
      <c r="P69" s="88">
        <f>USD!P70</f>
        <v>120</v>
      </c>
      <c r="Q69" s="88">
        <f>USD!Q70</f>
        <v>100</v>
      </c>
      <c r="R69" s="176">
        <f>USD!R70</f>
        <v>0.85</v>
      </c>
      <c r="S69" s="176">
        <f>USD!S70</f>
        <v>0.85</v>
      </c>
      <c r="T69" s="176">
        <f>USD!T70</f>
        <v>0.7</v>
      </c>
      <c r="U69" s="176">
        <f>USD!U70</f>
        <v>0.85</v>
      </c>
      <c r="V69" s="176">
        <f>USD!V70</f>
        <v>0.7</v>
      </c>
      <c r="W69" s="176">
        <f>USD!W70</f>
        <v>0.85</v>
      </c>
      <c r="X69" s="176">
        <f>USD!X70</f>
        <v>0.95</v>
      </c>
      <c r="Y69" s="176">
        <f>USD!Y70</f>
        <v>1</v>
      </c>
      <c r="Z69" s="176">
        <f>USD!Z70</f>
        <v>0.9</v>
      </c>
      <c r="AA69" s="176">
        <f>USD!AA70</f>
        <v>0.85</v>
      </c>
    </row>
    <row r="70" spans="15:27" ht="12.75">
      <c r="O70" s="87" t="str">
        <f>USD!O71</f>
        <v>Республика Коми (не включая г. Сыктывкар)</v>
      </c>
      <c r="P70" s="88">
        <f>USD!P71</f>
        <v>100</v>
      </c>
      <c r="Q70" s="88">
        <f>USD!Q71</f>
        <v>85</v>
      </c>
      <c r="R70" s="176">
        <f>USD!R71</f>
        <v>0.85</v>
      </c>
      <c r="S70" s="176">
        <f>USD!S71</f>
        <v>0.85</v>
      </c>
      <c r="T70" s="176">
        <f>USD!T71</f>
        <v>0.7</v>
      </c>
      <c r="U70" s="176">
        <f>USD!U71</f>
        <v>0.85</v>
      </c>
      <c r="V70" s="176">
        <f>USD!V71</f>
        <v>0.7</v>
      </c>
      <c r="W70" s="176">
        <f>USD!W71</f>
        <v>0.85</v>
      </c>
      <c r="X70" s="176">
        <f>USD!X71</f>
        <v>0.95</v>
      </c>
      <c r="Y70" s="176">
        <f>USD!Y71</f>
        <v>1</v>
      </c>
      <c r="Z70" s="176">
        <f>USD!Z71</f>
        <v>0.9</v>
      </c>
      <c r="AA70" s="176">
        <f>USD!AA71</f>
        <v>0.85</v>
      </c>
    </row>
    <row r="71" spans="15:27" ht="12.75">
      <c r="O71" s="87" t="str">
        <f>USD!O72</f>
        <v>г. Сыктывкар</v>
      </c>
      <c r="P71" s="88">
        <f>USD!P72</f>
        <v>100</v>
      </c>
      <c r="Q71" s="88">
        <f>USD!Q72</f>
        <v>85</v>
      </c>
      <c r="R71" s="176">
        <f>USD!R72</f>
        <v>0.9</v>
      </c>
      <c r="S71" s="176">
        <f>USD!S72</f>
        <v>0.85</v>
      </c>
      <c r="T71" s="176">
        <f>USD!T72</f>
        <v>0.7</v>
      </c>
      <c r="U71" s="176">
        <f>USD!U72</f>
        <v>0.85</v>
      </c>
      <c r="V71" s="176">
        <f>USD!V72</f>
        <v>0.7</v>
      </c>
      <c r="W71" s="176">
        <f>USD!W72</f>
        <v>0.9</v>
      </c>
      <c r="X71" s="176">
        <f>USD!X72</f>
        <v>0.95</v>
      </c>
      <c r="Y71" s="176">
        <f>USD!Y72</f>
        <v>1</v>
      </c>
      <c r="Z71" s="176">
        <f>USD!Z72</f>
        <v>0.9</v>
      </c>
      <c r="AA71" s="176">
        <f>USD!AA72</f>
        <v>0.85</v>
      </c>
    </row>
    <row r="72" spans="15:27" ht="12.75">
      <c r="O72" s="87" t="str">
        <f>USD!O73</f>
        <v>Республика Марий Эл (не включая г. Йошкар-Олу)</v>
      </c>
      <c r="P72" s="88">
        <f>USD!P73</f>
        <v>100</v>
      </c>
      <c r="Q72" s="88">
        <f>USD!Q73</f>
        <v>85</v>
      </c>
      <c r="R72" s="176">
        <f>USD!R73</f>
        <v>0.85</v>
      </c>
      <c r="S72" s="176">
        <f>USD!S73</f>
        <v>0.85</v>
      </c>
      <c r="T72" s="176">
        <f>USD!T73</f>
        <v>0.7</v>
      </c>
      <c r="U72" s="176">
        <f>USD!U73</f>
        <v>0.85</v>
      </c>
      <c r="V72" s="176">
        <f>USD!V73</f>
        <v>0.7</v>
      </c>
      <c r="W72" s="176">
        <f>USD!W73</f>
        <v>0.85</v>
      </c>
      <c r="X72" s="176">
        <f>USD!X73</f>
        <v>0.95</v>
      </c>
      <c r="Y72" s="176">
        <f>USD!Y73</f>
        <v>1</v>
      </c>
      <c r="Z72" s="176">
        <f>USD!Z73</f>
        <v>0.9</v>
      </c>
      <c r="AA72" s="176">
        <f>USD!AA73</f>
        <v>0.85</v>
      </c>
    </row>
    <row r="73" spans="15:27" ht="12.75">
      <c r="O73" s="87" t="str">
        <f>USD!O74</f>
        <v>г. Йошкар-Ола</v>
      </c>
      <c r="P73" s="88">
        <f>USD!P74</f>
        <v>100</v>
      </c>
      <c r="Q73" s="88">
        <f>USD!Q74</f>
        <v>85</v>
      </c>
      <c r="R73" s="176">
        <f>USD!R74</f>
        <v>0.9</v>
      </c>
      <c r="S73" s="176">
        <f>USD!S74</f>
        <v>0.85</v>
      </c>
      <c r="T73" s="176">
        <f>USD!T74</f>
        <v>0.7</v>
      </c>
      <c r="U73" s="176">
        <f>USD!U74</f>
        <v>0.85</v>
      </c>
      <c r="V73" s="176">
        <f>USD!V74</f>
        <v>0.7</v>
      </c>
      <c r="W73" s="176">
        <f>USD!W74</f>
        <v>0.9</v>
      </c>
      <c r="X73" s="176">
        <f>USD!X74</f>
        <v>0.95</v>
      </c>
      <c r="Y73" s="176">
        <f>USD!Y74</f>
        <v>1</v>
      </c>
      <c r="Z73" s="176">
        <f>USD!Z74</f>
        <v>0.9</v>
      </c>
      <c r="AA73" s="176">
        <f>USD!AA74</f>
        <v>0.85</v>
      </c>
    </row>
    <row r="74" spans="15:27" ht="12.75">
      <c r="O74" s="87" t="str">
        <f>USD!O75</f>
        <v>Республика Саха (Якутия) (не включая г. Якутск)</v>
      </c>
      <c r="P74" s="88">
        <f>USD!P75</f>
        <v>120</v>
      </c>
      <c r="Q74" s="88">
        <f>USD!Q75</f>
        <v>100</v>
      </c>
      <c r="R74" s="176">
        <f>USD!R75</f>
        <v>0.85</v>
      </c>
      <c r="S74" s="176">
        <f>USD!S75</f>
        <v>0.85</v>
      </c>
      <c r="T74" s="176">
        <f>USD!T75</f>
        <v>0.7</v>
      </c>
      <c r="U74" s="176">
        <f>USD!U75</f>
        <v>0.85</v>
      </c>
      <c r="V74" s="176">
        <f>USD!V75</f>
        <v>0.7</v>
      </c>
      <c r="W74" s="176">
        <f>USD!W75</f>
        <v>0.85</v>
      </c>
      <c r="X74" s="176">
        <f>USD!X75</f>
        <v>0.95</v>
      </c>
      <c r="Y74" s="176">
        <f>USD!Y75</f>
        <v>1</v>
      </c>
      <c r="Z74" s="176">
        <f>USD!Z75</f>
        <v>0.9</v>
      </c>
      <c r="AA74" s="176">
        <f>USD!AA75</f>
        <v>0.85</v>
      </c>
    </row>
    <row r="75" spans="15:27" ht="12.75">
      <c r="O75" s="87" t="str">
        <f>USD!O76</f>
        <v>г. Якутск</v>
      </c>
      <c r="P75" s="88">
        <f>USD!P76</f>
        <v>120</v>
      </c>
      <c r="Q75" s="88">
        <f>USD!Q76</f>
        <v>100</v>
      </c>
      <c r="R75" s="176">
        <f>USD!R76</f>
        <v>0.9</v>
      </c>
      <c r="S75" s="176">
        <f>USD!S76</f>
        <v>0.85</v>
      </c>
      <c r="T75" s="176">
        <f>USD!T76</f>
        <v>0.7</v>
      </c>
      <c r="U75" s="176">
        <f>USD!U76</f>
        <v>0.85</v>
      </c>
      <c r="V75" s="176">
        <f>USD!V76</f>
        <v>0.7</v>
      </c>
      <c r="W75" s="176">
        <f>USD!W76</f>
        <v>0.9</v>
      </c>
      <c r="X75" s="176">
        <f>USD!X76</f>
        <v>0.95</v>
      </c>
      <c r="Y75" s="176">
        <f>USD!Y76</f>
        <v>1</v>
      </c>
      <c r="Z75" s="176">
        <f>USD!Z76</f>
        <v>0.9</v>
      </c>
      <c r="AA75" s="176">
        <f>USD!AA76</f>
        <v>0.85</v>
      </c>
    </row>
    <row r="76" spans="15:27" ht="12.75">
      <c r="O76" s="87" t="str">
        <f>USD!O77</f>
        <v>Республика Татарстан (не включая г. Казань)</v>
      </c>
      <c r="P76" s="88">
        <f>USD!P77</f>
        <v>100</v>
      </c>
      <c r="Q76" s="88">
        <f>USD!Q77</f>
        <v>85</v>
      </c>
      <c r="R76" s="176">
        <f>USD!R77</f>
        <v>0.85</v>
      </c>
      <c r="S76" s="176">
        <f>USD!S77</f>
        <v>0.85</v>
      </c>
      <c r="T76" s="176">
        <f>USD!T77</f>
        <v>0.7</v>
      </c>
      <c r="U76" s="176">
        <f>USD!U77</f>
        <v>0.85</v>
      </c>
      <c r="V76" s="176">
        <f>USD!V77</f>
        <v>0.7</v>
      </c>
      <c r="W76" s="176">
        <f>USD!W77</f>
        <v>0.85</v>
      </c>
      <c r="X76" s="176">
        <f>USD!X77</f>
        <v>0.95</v>
      </c>
      <c r="Y76" s="176">
        <f>USD!Y77</f>
        <v>1</v>
      </c>
      <c r="Z76" s="176">
        <f>USD!Z77</f>
        <v>0.9</v>
      </c>
      <c r="AA76" s="176">
        <f>USD!AA77</f>
        <v>0.85</v>
      </c>
    </row>
    <row r="77" spans="15:27" ht="12.75">
      <c r="O77" s="87" t="str">
        <f>USD!O78</f>
        <v>г. Казань</v>
      </c>
      <c r="P77" s="88">
        <f>USD!P78</f>
        <v>100</v>
      </c>
      <c r="Q77" s="88">
        <f>USD!Q78</f>
        <v>85</v>
      </c>
      <c r="R77" s="176">
        <f>USD!R78</f>
        <v>1</v>
      </c>
      <c r="S77" s="176">
        <f>USD!S78</f>
        <v>0.95</v>
      </c>
      <c r="T77" s="176">
        <f>USD!T78</f>
        <v>0.9</v>
      </c>
      <c r="U77" s="176">
        <f>USD!U78</f>
        <v>0.95</v>
      </c>
      <c r="V77" s="176">
        <f>USD!V78</f>
        <v>0.95</v>
      </c>
      <c r="W77" s="176">
        <f>USD!W78</f>
        <v>1</v>
      </c>
      <c r="X77" s="176">
        <f>USD!X78</f>
        <v>0.95</v>
      </c>
      <c r="Y77" s="176">
        <f>USD!Y78</f>
        <v>1</v>
      </c>
      <c r="Z77" s="176">
        <f>USD!Z78</f>
        <v>0.9</v>
      </c>
      <c r="AA77" s="176">
        <f>USD!AA78</f>
        <v>0.85</v>
      </c>
    </row>
    <row r="78" spans="15:27" ht="12.75">
      <c r="O78" s="87" t="str">
        <f>USD!O79</f>
        <v>Ростовская область (не включая г. Ростов-на-Дону)</v>
      </c>
      <c r="P78" s="88">
        <f>USD!P79</f>
        <v>100</v>
      </c>
      <c r="Q78" s="88">
        <f>USD!Q79</f>
        <v>85</v>
      </c>
      <c r="R78" s="176">
        <f>USD!R79</f>
        <v>0.85</v>
      </c>
      <c r="S78" s="176">
        <f>USD!S79</f>
        <v>0.85</v>
      </c>
      <c r="T78" s="176">
        <f>USD!T79</f>
        <v>0.7</v>
      </c>
      <c r="U78" s="176">
        <f>USD!U79</f>
        <v>0.85</v>
      </c>
      <c r="V78" s="176">
        <f>USD!V79</f>
        <v>0.7</v>
      </c>
      <c r="W78" s="176">
        <f>USD!W79</f>
        <v>0.85</v>
      </c>
      <c r="X78" s="176">
        <f>USD!X79</f>
        <v>0.95</v>
      </c>
      <c r="Y78" s="176">
        <f>USD!Y79</f>
        <v>1</v>
      </c>
      <c r="Z78" s="176">
        <f>USD!Z79</f>
        <v>0.9</v>
      </c>
      <c r="AA78" s="176">
        <f>USD!AA79</f>
        <v>0.85</v>
      </c>
    </row>
    <row r="79" spans="15:27" ht="12.75">
      <c r="O79" s="87" t="str">
        <f>USD!O80</f>
        <v>г. Ростов-на-Дону</v>
      </c>
      <c r="P79" s="88">
        <f>USD!P80</f>
        <v>100</v>
      </c>
      <c r="Q79" s="88">
        <f>USD!Q80</f>
        <v>85</v>
      </c>
      <c r="R79" s="176">
        <f>USD!R80</f>
        <v>0.95</v>
      </c>
      <c r="S79" s="176">
        <f>USD!S80</f>
        <v>0.95</v>
      </c>
      <c r="T79" s="176">
        <f>USD!T80</f>
        <v>0.9</v>
      </c>
      <c r="U79" s="176">
        <f>USD!U80</f>
        <v>0.95</v>
      </c>
      <c r="V79" s="176">
        <f>USD!V80</f>
        <v>0.95</v>
      </c>
      <c r="W79" s="176">
        <f>USD!W80</f>
        <v>0.95</v>
      </c>
      <c r="X79" s="176">
        <f>USD!X80</f>
        <v>0.95</v>
      </c>
      <c r="Y79" s="176">
        <f>USD!Y80</f>
        <v>1</v>
      </c>
      <c r="Z79" s="176">
        <f>USD!Z80</f>
        <v>0.9</v>
      </c>
      <c r="AA79" s="176">
        <f>USD!AA80</f>
        <v>0.85</v>
      </c>
    </row>
    <row r="80" spans="15:27" ht="12.75">
      <c r="O80" s="87" t="str">
        <f>USD!O81</f>
        <v>Самарская область (не включая г. Самара и г. Тольятти)</v>
      </c>
      <c r="P80" s="88">
        <f>USD!P81</f>
        <v>100</v>
      </c>
      <c r="Q80" s="88">
        <f>USD!Q81</f>
        <v>85</v>
      </c>
      <c r="R80" s="176">
        <f>USD!R81</f>
        <v>0.85</v>
      </c>
      <c r="S80" s="176">
        <f>USD!S81</f>
        <v>0.85</v>
      </c>
      <c r="T80" s="176">
        <f>USD!T81</f>
        <v>0.7</v>
      </c>
      <c r="U80" s="176">
        <f>USD!U81</f>
        <v>0.85</v>
      </c>
      <c r="V80" s="176">
        <f>USD!V81</f>
        <v>0.7</v>
      </c>
      <c r="W80" s="176">
        <f>USD!W81</f>
        <v>0.85</v>
      </c>
      <c r="X80" s="176">
        <f>USD!X81</f>
        <v>0.95</v>
      </c>
      <c r="Y80" s="176">
        <f>USD!Y81</f>
        <v>1</v>
      </c>
      <c r="Z80" s="176">
        <f>USD!Z81</f>
        <v>0.9</v>
      </c>
      <c r="AA80" s="176">
        <f>USD!AA81</f>
        <v>0.85</v>
      </c>
    </row>
    <row r="81" spans="15:27" ht="12.75">
      <c r="O81" s="87" t="str">
        <f>USD!O82</f>
        <v>г. Самара</v>
      </c>
      <c r="P81" s="88">
        <f>USD!P82</f>
        <v>100</v>
      </c>
      <c r="Q81" s="88">
        <f>USD!Q82</f>
        <v>85</v>
      </c>
      <c r="R81" s="176">
        <f>USD!R82</f>
        <v>1</v>
      </c>
      <c r="S81" s="176">
        <f>USD!S82</f>
        <v>0.95</v>
      </c>
      <c r="T81" s="176">
        <f>USD!T82</f>
        <v>0.9</v>
      </c>
      <c r="U81" s="176">
        <f>USD!U82</f>
        <v>0.95</v>
      </c>
      <c r="V81" s="176">
        <f>USD!V82</f>
        <v>0.95</v>
      </c>
      <c r="W81" s="176">
        <f>USD!W82</f>
        <v>1</v>
      </c>
      <c r="X81" s="176">
        <f>USD!X82</f>
        <v>0.95</v>
      </c>
      <c r="Y81" s="176">
        <f>USD!Y82</f>
        <v>1</v>
      </c>
      <c r="Z81" s="176">
        <f>USD!Z82</f>
        <v>0.9</v>
      </c>
      <c r="AA81" s="176">
        <f>USD!AA82</f>
        <v>0.85</v>
      </c>
    </row>
    <row r="82" spans="15:27" ht="12.75">
      <c r="O82" s="87" t="str">
        <f>USD!O83</f>
        <v>г. Тольятти</v>
      </c>
      <c r="P82" s="88">
        <f>USD!P83</f>
        <v>100</v>
      </c>
      <c r="Q82" s="88">
        <f>USD!Q83</f>
        <v>85</v>
      </c>
      <c r="R82" s="176">
        <f>USD!R83</f>
        <v>0.9</v>
      </c>
      <c r="S82" s="176">
        <f>USD!S83</f>
        <v>0.85</v>
      </c>
      <c r="T82" s="176">
        <f>USD!T83</f>
        <v>0.7</v>
      </c>
      <c r="U82" s="176">
        <f>USD!U83</f>
        <v>0.85</v>
      </c>
      <c r="V82" s="176">
        <f>USD!V83</f>
        <v>0.7</v>
      </c>
      <c r="W82" s="176">
        <f>USD!W83</f>
        <v>0.9</v>
      </c>
      <c r="X82" s="176">
        <f>USD!X83</f>
        <v>0.95</v>
      </c>
      <c r="Y82" s="176">
        <f>USD!Y83</f>
        <v>1</v>
      </c>
      <c r="Z82" s="176">
        <f>USD!Z83</f>
        <v>0.9</v>
      </c>
      <c r="AA82" s="176">
        <f>USD!AA83</f>
        <v>0.85</v>
      </c>
    </row>
    <row r="83" spans="15:27" ht="12.75">
      <c r="O83" s="87" t="str">
        <f>USD!O84</f>
        <v>Саратовская область (включая г. Саратов)</v>
      </c>
      <c r="P83" s="88">
        <f>USD!P84</f>
        <v>100</v>
      </c>
      <c r="Q83" s="88">
        <f>USD!Q84</f>
        <v>85</v>
      </c>
      <c r="R83" s="176">
        <f>USD!R84</f>
        <v>0.85</v>
      </c>
      <c r="S83" s="176">
        <f>USD!S84</f>
        <v>0.85</v>
      </c>
      <c r="T83" s="176">
        <f>USD!T84</f>
        <v>0.7</v>
      </c>
      <c r="U83" s="176">
        <f>USD!U84</f>
        <v>0.85</v>
      </c>
      <c r="V83" s="176">
        <f>USD!V84</f>
        <v>0.7</v>
      </c>
      <c r="W83" s="176">
        <f>USD!W84</f>
        <v>0.85</v>
      </c>
      <c r="X83" s="176">
        <f>USD!X84</f>
        <v>0.95</v>
      </c>
      <c r="Y83" s="176">
        <f>USD!Y84</f>
        <v>1</v>
      </c>
      <c r="Z83" s="176">
        <f>USD!Z84</f>
        <v>0.9</v>
      </c>
      <c r="AA83" s="176">
        <f>USD!AA84</f>
        <v>0.85</v>
      </c>
    </row>
    <row r="84" spans="15:27" ht="12.75">
      <c r="O84" s="87" t="str">
        <f>USD!O85</f>
        <v>Свердловская область (не включая г. Екатеринбург)</v>
      </c>
      <c r="P84" s="88">
        <f>USD!P85</f>
        <v>100</v>
      </c>
      <c r="Q84" s="88">
        <f>USD!Q85</f>
        <v>85</v>
      </c>
      <c r="R84" s="176">
        <f>USD!R85</f>
        <v>0.85</v>
      </c>
      <c r="S84" s="176">
        <f>USD!S85</f>
        <v>0.85</v>
      </c>
      <c r="T84" s="176">
        <f>USD!T85</f>
        <v>0.7</v>
      </c>
      <c r="U84" s="176">
        <f>USD!U85</f>
        <v>0.85</v>
      </c>
      <c r="V84" s="176">
        <f>USD!V85</f>
        <v>0.7</v>
      </c>
      <c r="W84" s="176">
        <f>USD!W85</f>
        <v>0.85</v>
      </c>
      <c r="X84" s="176">
        <f>USD!X85</f>
        <v>0.95</v>
      </c>
      <c r="Y84" s="176">
        <f>USD!Y85</f>
        <v>1</v>
      </c>
      <c r="Z84" s="176">
        <f>USD!Z85</f>
        <v>0.9</v>
      </c>
      <c r="AA84" s="176">
        <f>USD!AA85</f>
        <v>0.85</v>
      </c>
    </row>
    <row r="85" spans="15:27" ht="12.75">
      <c r="O85" s="87" t="str">
        <f>USD!O86</f>
        <v>г. Екатеринбург</v>
      </c>
      <c r="P85" s="88">
        <f>USD!P86</f>
        <v>100</v>
      </c>
      <c r="Q85" s="88">
        <f>USD!Q86</f>
        <v>85</v>
      </c>
      <c r="R85" s="176">
        <f>USD!R86</f>
        <v>1</v>
      </c>
      <c r="S85" s="176">
        <f>USD!S86</f>
        <v>0.95</v>
      </c>
      <c r="T85" s="176">
        <f>USD!T86</f>
        <v>0.9</v>
      </c>
      <c r="U85" s="176">
        <f>USD!U86</f>
        <v>0.95</v>
      </c>
      <c r="V85" s="176">
        <f>USD!V86</f>
        <v>0.95</v>
      </c>
      <c r="W85" s="176">
        <f>USD!W86</f>
        <v>1</v>
      </c>
      <c r="X85" s="176">
        <f>USD!X86</f>
        <v>0.95</v>
      </c>
      <c r="Y85" s="176">
        <f>USD!Y86</f>
        <v>1</v>
      </c>
      <c r="Z85" s="176">
        <f>USD!Z86</f>
        <v>0.9</v>
      </c>
      <c r="AA85" s="176">
        <f>USD!AA86</f>
        <v>0.85</v>
      </c>
    </row>
    <row r="86" spans="15:27" ht="12.75">
      <c r="O86" s="87" t="str">
        <f>USD!O87</f>
        <v>Смоленская область (не включая г. Смоленск)</v>
      </c>
      <c r="P86" s="88">
        <f>USD!P87</f>
        <v>100</v>
      </c>
      <c r="Q86" s="88">
        <f>USD!Q87</f>
        <v>85</v>
      </c>
      <c r="R86" s="176">
        <f>USD!R87</f>
        <v>0.85</v>
      </c>
      <c r="S86" s="176">
        <f>USD!S87</f>
        <v>0.85</v>
      </c>
      <c r="T86" s="176">
        <f>USD!T87</f>
        <v>0.7</v>
      </c>
      <c r="U86" s="176">
        <f>USD!U87</f>
        <v>0.85</v>
      </c>
      <c r="V86" s="176">
        <f>USD!V87</f>
        <v>0.7</v>
      </c>
      <c r="W86" s="176">
        <f>USD!W87</f>
        <v>0.85</v>
      </c>
      <c r="X86" s="176">
        <f>USD!X87</f>
        <v>0.95</v>
      </c>
      <c r="Y86" s="176">
        <f>USD!Y87</f>
        <v>1</v>
      </c>
      <c r="Z86" s="176">
        <f>USD!Z87</f>
        <v>0.9</v>
      </c>
      <c r="AA86" s="176">
        <f>USD!AA87</f>
        <v>0.85</v>
      </c>
    </row>
    <row r="87" spans="15:27" ht="12.75">
      <c r="O87" s="87" t="str">
        <f>USD!O88</f>
        <v>г. Смоленск</v>
      </c>
      <c r="P87" s="88">
        <f>USD!P88</f>
        <v>100</v>
      </c>
      <c r="Q87" s="88">
        <f>USD!Q88</f>
        <v>85</v>
      </c>
      <c r="R87" s="176">
        <f>USD!R88</f>
        <v>0.9</v>
      </c>
      <c r="S87" s="176">
        <f>USD!S88</f>
        <v>0.85</v>
      </c>
      <c r="T87" s="176">
        <f>USD!T88</f>
        <v>0.7</v>
      </c>
      <c r="U87" s="176">
        <f>USD!U88</f>
        <v>0.85</v>
      </c>
      <c r="V87" s="176">
        <f>USD!V88</f>
        <v>0.7</v>
      </c>
      <c r="W87" s="176">
        <f>USD!W88</f>
        <v>0.9</v>
      </c>
      <c r="X87" s="176">
        <f>USD!X88</f>
        <v>0.95</v>
      </c>
      <c r="Y87" s="176">
        <f>USD!Y88</f>
        <v>1</v>
      </c>
      <c r="Z87" s="176">
        <f>USD!Z88</f>
        <v>0.9</v>
      </c>
      <c r="AA87" s="176">
        <f>USD!AA88</f>
        <v>0.85</v>
      </c>
    </row>
    <row r="88" spans="15:27" ht="12.75">
      <c r="O88" s="87" t="str">
        <f>USD!O89</f>
        <v>Тульская область (не включая г. Тула и г. Новомосковск)</v>
      </c>
      <c r="P88" s="88">
        <f>USD!P89</f>
        <v>100</v>
      </c>
      <c r="Q88" s="88">
        <f>USD!Q89</f>
        <v>85</v>
      </c>
      <c r="R88" s="176">
        <f>USD!R89</f>
        <v>0.85</v>
      </c>
      <c r="S88" s="176">
        <f>USD!S89</f>
        <v>0.85</v>
      </c>
      <c r="T88" s="176">
        <f>USD!T89</f>
        <v>0.7</v>
      </c>
      <c r="U88" s="176">
        <f>USD!U89</f>
        <v>0.85</v>
      </c>
      <c r="V88" s="176">
        <f>USD!V89</f>
        <v>0.7</v>
      </c>
      <c r="W88" s="176">
        <f>USD!W89</f>
        <v>0.85</v>
      </c>
      <c r="X88" s="176">
        <f>USD!X89</f>
        <v>0.95</v>
      </c>
      <c r="Y88" s="176">
        <f>USD!Y89</f>
        <v>1</v>
      </c>
      <c r="Z88" s="176">
        <f>USD!Z89</f>
        <v>0.9</v>
      </c>
      <c r="AA88" s="176">
        <f>USD!AA89</f>
        <v>0.85</v>
      </c>
    </row>
    <row r="89" spans="15:27" ht="12.75">
      <c r="O89" s="87" t="str">
        <f>USD!O90</f>
        <v>г. Тула</v>
      </c>
      <c r="P89" s="88">
        <f>USD!P90</f>
        <v>100</v>
      </c>
      <c r="Q89" s="88">
        <f>USD!Q90</f>
        <v>85</v>
      </c>
      <c r="R89" s="176">
        <f>USD!R90</f>
        <v>0.9</v>
      </c>
      <c r="S89" s="176">
        <f>USD!S90</f>
        <v>0.85</v>
      </c>
      <c r="T89" s="176">
        <f>USD!T90</f>
        <v>0.7</v>
      </c>
      <c r="U89" s="176">
        <f>USD!U90</f>
        <v>0.85</v>
      </c>
      <c r="V89" s="176">
        <f>USD!V90</f>
        <v>0.7</v>
      </c>
      <c r="W89" s="176">
        <f>USD!W90</f>
        <v>0.9</v>
      </c>
      <c r="X89" s="176">
        <f>USD!X90</f>
        <v>0.95</v>
      </c>
      <c r="Y89" s="176">
        <f>USD!Y90</f>
        <v>1</v>
      </c>
      <c r="Z89" s="176">
        <f>USD!Z90</f>
        <v>0.9</v>
      </c>
      <c r="AA89" s="176">
        <f>USD!AA90</f>
        <v>0.85</v>
      </c>
    </row>
    <row r="90" spans="15:27" ht="12.75">
      <c r="O90" s="87" t="str">
        <f>USD!O91</f>
        <v>г. Новомосковск</v>
      </c>
      <c r="P90" s="88">
        <f>USD!P91</f>
        <v>100</v>
      </c>
      <c r="Q90" s="88">
        <f>USD!Q91</f>
        <v>85</v>
      </c>
      <c r="R90" s="176">
        <f>USD!R91</f>
        <v>0.9</v>
      </c>
      <c r="S90" s="176">
        <f>USD!S91</f>
        <v>0.85</v>
      </c>
      <c r="T90" s="176">
        <f>USD!T91</f>
        <v>0.7</v>
      </c>
      <c r="U90" s="176">
        <f>USD!U91</f>
        <v>0.85</v>
      </c>
      <c r="V90" s="176">
        <f>USD!V91</f>
        <v>0.7</v>
      </c>
      <c r="W90" s="176">
        <f>USD!W91</f>
        <v>0.9</v>
      </c>
      <c r="X90" s="176">
        <f>USD!X91</f>
        <v>0.95</v>
      </c>
      <c r="Y90" s="176">
        <f>USD!Y91</f>
        <v>1</v>
      </c>
      <c r="Z90" s="176">
        <f>USD!Z91</f>
        <v>0.9</v>
      </c>
      <c r="AA90" s="176">
        <f>USD!AA91</f>
        <v>0.85</v>
      </c>
    </row>
    <row r="91" spans="15:27" ht="12.75">
      <c r="O91" s="87" t="str">
        <f>USD!O92</f>
        <v>Тверская область (включая г. Тверь)</v>
      </c>
      <c r="P91" s="88">
        <f>USD!P92</f>
        <v>100</v>
      </c>
      <c r="Q91" s="88">
        <f>USD!Q92</f>
        <v>85</v>
      </c>
      <c r="R91" s="176">
        <f>USD!R92</f>
        <v>0.85</v>
      </c>
      <c r="S91" s="176">
        <f>USD!S92</f>
        <v>0.85</v>
      </c>
      <c r="T91" s="176">
        <f>USD!T92</f>
        <v>0.7</v>
      </c>
      <c r="U91" s="176">
        <f>USD!U92</f>
        <v>0.85</v>
      </c>
      <c r="V91" s="176">
        <f>USD!V92</f>
        <v>0.7</v>
      </c>
      <c r="W91" s="176">
        <f>USD!W92</f>
        <v>0.85</v>
      </c>
      <c r="X91" s="176">
        <f>USD!X92</f>
        <v>0.95</v>
      </c>
      <c r="Y91" s="176">
        <f>USD!Y92</f>
        <v>1</v>
      </c>
      <c r="Z91" s="176">
        <f>USD!Z92</f>
        <v>0.9</v>
      </c>
      <c r="AA91" s="176">
        <f>USD!AA92</f>
        <v>0.85</v>
      </c>
    </row>
    <row r="92" spans="15:27" ht="12.75">
      <c r="O92" s="87" t="str">
        <f>USD!O93</f>
        <v>Томская область (не включая г. Томск)</v>
      </c>
      <c r="P92" s="88">
        <f>USD!P93</f>
        <v>100</v>
      </c>
      <c r="Q92" s="88">
        <f>USD!Q93</f>
        <v>85</v>
      </c>
      <c r="R92" s="176">
        <f>USD!R93</f>
        <v>0.85</v>
      </c>
      <c r="S92" s="176">
        <f>USD!S93</f>
        <v>0.85</v>
      </c>
      <c r="T92" s="176">
        <f>USD!T93</f>
        <v>0.7</v>
      </c>
      <c r="U92" s="176">
        <f>USD!U93</f>
        <v>0.85</v>
      </c>
      <c r="V92" s="176">
        <f>USD!V93</f>
        <v>0.7</v>
      </c>
      <c r="W92" s="176">
        <f>USD!W93</f>
        <v>0.85</v>
      </c>
      <c r="X92" s="176">
        <f>USD!X93</f>
        <v>0.95</v>
      </c>
      <c r="Y92" s="176">
        <f>USD!Y93</f>
        <v>1</v>
      </c>
      <c r="Z92" s="176">
        <f>USD!Z93</f>
        <v>0.9</v>
      </c>
      <c r="AA92" s="176">
        <f>USD!AA93</f>
        <v>0.85</v>
      </c>
    </row>
    <row r="93" spans="15:27" ht="12.75">
      <c r="O93" s="87" t="str">
        <f>USD!O94</f>
        <v>г. Томск</v>
      </c>
      <c r="P93" s="88">
        <f>USD!P94</f>
        <v>100</v>
      </c>
      <c r="Q93" s="88">
        <f>USD!Q94</f>
        <v>85</v>
      </c>
      <c r="R93" s="176">
        <f>USD!R94</f>
        <v>0.9</v>
      </c>
      <c r="S93" s="176">
        <f>USD!S94</f>
        <v>0.85</v>
      </c>
      <c r="T93" s="176">
        <f>USD!T94</f>
        <v>0.7</v>
      </c>
      <c r="U93" s="176">
        <f>USD!U94</f>
        <v>0.85</v>
      </c>
      <c r="V93" s="176">
        <f>USD!V94</f>
        <v>0.7</v>
      </c>
      <c r="W93" s="176">
        <f>USD!W94</f>
        <v>0.9</v>
      </c>
      <c r="X93" s="176">
        <f>USD!X94</f>
        <v>0.95</v>
      </c>
      <c r="Y93" s="176">
        <f>USD!Y94</f>
        <v>1</v>
      </c>
      <c r="Z93" s="176">
        <f>USD!Z94</f>
        <v>0.9</v>
      </c>
      <c r="AA93" s="176">
        <f>USD!AA94</f>
        <v>0.85</v>
      </c>
    </row>
    <row r="94" spans="15:27" ht="12.75">
      <c r="O94" s="87" t="str">
        <f>USD!O95</f>
        <v>Тюменская область (не включая г. Тюмень)</v>
      </c>
      <c r="P94" s="88">
        <f>USD!P95</f>
        <v>100</v>
      </c>
      <c r="Q94" s="88">
        <f>USD!Q95</f>
        <v>85</v>
      </c>
      <c r="R94" s="176">
        <f>USD!R95</f>
        <v>0.85</v>
      </c>
      <c r="S94" s="176">
        <f>USD!S95</f>
        <v>0.85</v>
      </c>
      <c r="T94" s="176">
        <f>USD!T95</f>
        <v>0.7</v>
      </c>
      <c r="U94" s="176">
        <f>USD!U95</f>
        <v>0.85</v>
      </c>
      <c r="V94" s="176">
        <f>USD!V95</f>
        <v>0.7</v>
      </c>
      <c r="W94" s="176">
        <f>USD!W95</f>
        <v>0.85</v>
      </c>
      <c r="X94" s="176">
        <f>USD!X95</f>
        <v>0.95</v>
      </c>
      <c r="Y94" s="176">
        <f>USD!Y95</f>
        <v>1</v>
      </c>
      <c r="Z94" s="176">
        <f>USD!Z95</f>
        <v>0.9</v>
      </c>
      <c r="AA94" s="176">
        <f>USD!AA95</f>
        <v>0.85</v>
      </c>
    </row>
    <row r="95" spans="15:27" ht="12.75">
      <c r="O95" s="87" t="str">
        <f>USD!O96</f>
        <v>г. Тюмень</v>
      </c>
      <c r="P95" s="88">
        <f>USD!P96</f>
        <v>100</v>
      </c>
      <c r="Q95" s="88">
        <f>USD!Q96</f>
        <v>85</v>
      </c>
      <c r="R95" s="176">
        <f>USD!R96</f>
        <v>0.95</v>
      </c>
      <c r="S95" s="176">
        <f>USD!S96</f>
        <v>0.95</v>
      </c>
      <c r="T95" s="176">
        <f>USD!T96</f>
        <v>0.9</v>
      </c>
      <c r="U95" s="176">
        <f>USD!U96</f>
        <v>0.95</v>
      </c>
      <c r="V95" s="176">
        <f>USD!V96</f>
        <v>0.95</v>
      </c>
      <c r="W95" s="176">
        <f>USD!W96</f>
        <v>0.95</v>
      </c>
      <c r="X95" s="176">
        <f>USD!X96</f>
        <v>0.95</v>
      </c>
      <c r="Y95" s="176">
        <f>USD!Y96</f>
        <v>1</v>
      </c>
      <c r="Z95" s="176">
        <f>USD!Z96</f>
        <v>0.9</v>
      </c>
      <c r="AA95" s="176">
        <f>USD!AA96</f>
        <v>0.85</v>
      </c>
    </row>
    <row r="96" spans="15:27" ht="12.75">
      <c r="O96" s="87" t="str">
        <f>USD!O97</f>
        <v>Ульяновская область (не включая г. Ульяновск)</v>
      </c>
      <c r="P96" s="88">
        <f>USD!P97</f>
        <v>100</v>
      </c>
      <c r="Q96" s="88">
        <f>USD!Q97</f>
        <v>85</v>
      </c>
      <c r="R96" s="176">
        <f>USD!R97</f>
        <v>0.85</v>
      </c>
      <c r="S96" s="176">
        <f>USD!S97</f>
        <v>0.85</v>
      </c>
      <c r="T96" s="176">
        <f>USD!T97</f>
        <v>0.7</v>
      </c>
      <c r="U96" s="176">
        <f>USD!U97</f>
        <v>0.85</v>
      </c>
      <c r="V96" s="176">
        <f>USD!V97</f>
        <v>0.7</v>
      </c>
      <c r="W96" s="176">
        <f>USD!W97</f>
        <v>0.85</v>
      </c>
      <c r="X96" s="176">
        <f>USD!X97</f>
        <v>0.95</v>
      </c>
      <c r="Y96" s="176">
        <f>USD!Y97</f>
        <v>1</v>
      </c>
      <c r="Z96" s="176">
        <f>USD!Z97</f>
        <v>0.9</v>
      </c>
      <c r="AA96" s="176">
        <f>USD!AA97</f>
        <v>0.85</v>
      </c>
    </row>
    <row r="97" spans="15:27" ht="12.75">
      <c r="O97" s="87" t="str">
        <f>USD!O98</f>
        <v>г. Ульяновск</v>
      </c>
      <c r="P97" s="88">
        <f>USD!P98</f>
        <v>100</v>
      </c>
      <c r="Q97" s="88">
        <f>USD!Q98</f>
        <v>85</v>
      </c>
      <c r="R97" s="176">
        <f>USD!R98</f>
        <v>0.9</v>
      </c>
      <c r="S97" s="176">
        <f>USD!S98</f>
        <v>0.85</v>
      </c>
      <c r="T97" s="176">
        <f>USD!T98</f>
        <v>0.7</v>
      </c>
      <c r="U97" s="176">
        <f>USD!U98</f>
        <v>0.85</v>
      </c>
      <c r="V97" s="176">
        <f>USD!V98</f>
        <v>0.7</v>
      </c>
      <c r="W97" s="176">
        <f>USD!W98</f>
        <v>0.9</v>
      </c>
      <c r="X97" s="176">
        <f>USD!X98</f>
        <v>0.95</v>
      </c>
      <c r="Y97" s="176">
        <f>USD!Y98</f>
        <v>1</v>
      </c>
      <c r="Z97" s="176">
        <f>USD!Z98</f>
        <v>0.9</v>
      </c>
      <c r="AA97" s="176">
        <f>USD!AA98</f>
        <v>0.85</v>
      </c>
    </row>
    <row r="98" spans="15:27" ht="12.75">
      <c r="O98" s="87" t="str">
        <f>USD!O99</f>
        <v>Хабаровский край (не включая г. Хабаровск)</v>
      </c>
      <c r="P98" s="88">
        <f>USD!P99</f>
        <v>120</v>
      </c>
      <c r="Q98" s="88">
        <f>USD!Q99</f>
        <v>100</v>
      </c>
      <c r="R98" s="176">
        <f>USD!R99</f>
        <v>0.85</v>
      </c>
      <c r="S98" s="176">
        <f>USD!S99</f>
        <v>0.85</v>
      </c>
      <c r="T98" s="176">
        <f>USD!T99</f>
        <v>0.7</v>
      </c>
      <c r="U98" s="176">
        <f>USD!U99</f>
        <v>0.85</v>
      </c>
      <c r="V98" s="176">
        <f>USD!V99</f>
        <v>0.7</v>
      </c>
      <c r="W98" s="176">
        <f>USD!W99</f>
        <v>0.85</v>
      </c>
      <c r="X98" s="176">
        <f>USD!X99</f>
        <v>0.95</v>
      </c>
      <c r="Y98" s="176">
        <f>USD!Y99</f>
        <v>1</v>
      </c>
      <c r="Z98" s="176">
        <f>USD!Z99</f>
        <v>0.9</v>
      </c>
      <c r="AA98" s="176">
        <f>USD!AA99</f>
        <v>0.85</v>
      </c>
    </row>
    <row r="99" spans="15:27" ht="12.75">
      <c r="O99" s="87" t="str">
        <f>USD!O100</f>
        <v>г. Хабаровск</v>
      </c>
      <c r="P99" s="88">
        <f>USD!P100</f>
        <v>120</v>
      </c>
      <c r="Q99" s="88">
        <f>USD!Q100</f>
        <v>100</v>
      </c>
      <c r="R99" s="176">
        <f>USD!R100</f>
        <v>0.95</v>
      </c>
      <c r="S99" s="176">
        <f>USD!S100</f>
        <v>0.95</v>
      </c>
      <c r="T99" s="176">
        <f>USD!T100</f>
        <v>0.9</v>
      </c>
      <c r="U99" s="176">
        <f>USD!U100</f>
        <v>0.95</v>
      </c>
      <c r="V99" s="176">
        <f>USD!V100</f>
        <v>0.95</v>
      </c>
      <c r="W99" s="176">
        <f>USD!W100</f>
        <v>0.95</v>
      </c>
      <c r="X99" s="176">
        <f>USD!X100</f>
        <v>0.95</v>
      </c>
      <c r="Y99" s="176">
        <f>USD!Y100</f>
        <v>1</v>
      </c>
      <c r="Z99" s="176">
        <f>USD!Z100</f>
        <v>0.9</v>
      </c>
      <c r="AA99" s="176">
        <f>USD!AA100</f>
        <v>0.85</v>
      </c>
    </row>
    <row r="100" spans="15:27" ht="12.75">
      <c r="O100" s="87" t="str">
        <f>USD!O101</f>
        <v>Челябинская область (не включая г. Челябинск)</v>
      </c>
      <c r="P100" s="88">
        <f>USD!P101</f>
        <v>100</v>
      </c>
      <c r="Q100" s="88">
        <f>USD!Q101</f>
        <v>85</v>
      </c>
      <c r="R100" s="176">
        <f>USD!R101</f>
        <v>0.85</v>
      </c>
      <c r="S100" s="176">
        <f>USD!S101</f>
        <v>0.85</v>
      </c>
      <c r="T100" s="176">
        <f>USD!T101</f>
        <v>0.7</v>
      </c>
      <c r="U100" s="176">
        <f>USD!U101</f>
        <v>0.85</v>
      </c>
      <c r="V100" s="176">
        <f>USD!V101</f>
        <v>0.7</v>
      </c>
      <c r="W100" s="176">
        <f>USD!W101</f>
        <v>0.85</v>
      </c>
      <c r="X100" s="176">
        <f>USD!X101</f>
        <v>0.95</v>
      </c>
      <c r="Y100" s="176">
        <f>USD!Y101</f>
        <v>1</v>
      </c>
      <c r="Z100" s="176">
        <f>USD!Z101</f>
        <v>0.9</v>
      </c>
      <c r="AA100" s="176">
        <f>USD!AA101</f>
        <v>0.85</v>
      </c>
    </row>
    <row r="101" spans="15:27" ht="12.75">
      <c r="O101" s="87" t="str">
        <f>USD!O102</f>
        <v>г. Челябинск</v>
      </c>
      <c r="P101" s="88">
        <f>USD!P102</f>
        <v>100</v>
      </c>
      <c r="Q101" s="88">
        <f>USD!Q102</f>
        <v>85</v>
      </c>
      <c r="R101" s="176">
        <f>USD!R102</f>
        <v>0.9</v>
      </c>
      <c r="S101" s="176">
        <f>USD!S102</f>
        <v>0.85</v>
      </c>
      <c r="T101" s="176">
        <f>USD!T102</f>
        <v>0.7</v>
      </c>
      <c r="U101" s="176">
        <f>USD!U102</f>
        <v>0.85</v>
      </c>
      <c r="V101" s="176">
        <f>USD!V102</f>
        <v>0.7</v>
      </c>
      <c r="W101" s="176">
        <f>USD!W102</f>
        <v>0.9</v>
      </c>
      <c r="X101" s="176">
        <f>USD!X102</f>
        <v>0.95</v>
      </c>
      <c r="Y101" s="176">
        <f>USD!Y102</f>
        <v>1</v>
      </c>
      <c r="Z101" s="176">
        <f>USD!Z102</f>
        <v>0.9</v>
      </c>
      <c r="AA101" s="176">
        <f>USD!AA102</f>
        <v>0.85</v>
      </c>
    </row>
    <row r="102" spans="15:27" ht="12.75">
      <c r="O102" s="87" t="str">
        <f>USD!O103</f>
        <v>Чувашская республика (включая г. Чебоксары)</v>
      </c>
      <c r="P102" s="88">
        <f>USD!P103</f>
        <v>100</v>
      </c>
      <c r="Q102" s="88">
        <f>USD!Q103</f>
        <v>85</v>
      </c>
      <c r="R102" s="176">
        <f>USD!R103</f>
        <v>0.85</v>
      </c>
      <c r="S102" s="176">
        <f>USD!S103</f>
        <v>0.85</v>
      </c>
      <c r="T102" s="176">
        <f>USD!T103</f>
        <v>0.7</v>
      </c>
      <c r="U102" s="176">
        <f>USD!U103</f>
        <v>0.85</v>
      </c>
      <c r="V102" s="176">
        <f>USD!V103</f>
        <v>0.7</v>
      </c>
      <c r="W102" s="176">
        <f>USD!W103</f>
        <v>0.85</v>
      </c>
      <c r="X102" s="176">
        <f>USD!X103</f>
        <v>0.95</v>
      </c>
      <c r="Y102" s="176">
        <f>USD!Y103</f>
        <v>1</v>
      </c>
      <c r="Z102" s="176">
        <f>USD!Z103</f>
        <v>0.9</v>
      </c>
      <c r="AA102" s="176">
        <f>USD!AA103</f>
        <v>0.85</v>
      </c>
    </row>
    <row r="103" spans="15:27" ht="12.75">
      <c r="O103" s="87" t="str">
        <f>USD!O104</f>
        <v>Ярославская область (не включая г. Ярославль)</v>
      </c>
      <c r="P103" s="88">
        <f>USD!P104</f>
        <v>100</v>
      </c>
      <c r="Q103" s="88">
        <f>USD!Q104</f>
        <v>85</v>
      </c>
      <c r="R103" s="176">
        <f>USD!R104</f>
        <v>0.85</v>
      </c>
      <c r="S103" s="176">
        <f>USD!S104</f>
        <v>0.85</v>
      </c>
      <c r="T103" s="176">
        <f>USD!T104</f>
        <v>0.7</v>
      </c>
      <c r="U103" s="176">
        <f>USD!U104</f>
        <v>0.85</v>
      </c>
      <c r="V103" s="176">
        <f>USD!V104</f>
        <v>0.7</v>
      </c>
      <c r="W103" s="176">
        <f>USD!W104</f>
        <v>0.85</v>
      </c>
      <c r="X103" s="176">
        <f>USD!X104</f>
        <v>0.95</v>
      </c>
      <c r="Y103" s="176">
        <f>USD!Y104</f>
        <v>1</v>
      </c>
      <c r="Z103" s="176">
        <f>USD!Z104</f>
        <v>0.9</v>
      </c>
      <c r="AA103" s="176">
        <f>USD!AA104</f>
        <v>0.85</v>
      </c>
    </row>
    <row r="104" spans="15:27" ht="12.75">
      <c r="O104" s="87" t="str">
        <f>USD!O105</f>
        <v>г. Ярославль</v>
      </c>
      <c r="P104" s="88">
        <f>USD!P105</f>
        <v>100</v>
      </c>
      <c r="Q104" s="88">
        <f>USD!Q105</f>
        <v>85</v>
      </c>
      <c r="R104" s="176">
        <f>USD!R105</f>
        <v>0.9</v>
      </c>
      <c r="S104" s="176">
        <f>USD!S105</f>
        <v>0.85</v>
      </c>
      <c r="T104" s="176">
        <f>USD!T105</f>
        <v>0.7</v>
      </c>
      <c r="U104" s="176">
        <f>USD!U105</f>
        <v>0.85</v>
      </c>
      <c r="V104" s="176">
        <f>USD!V105</f>
        <v>0.7</v>
      </c>
      <c r="W104" s="176">
        <f>USD!W105</f>
        <v>0.9</v>
      </c>
      <c r="X104" s="176">
        <f>USD!X105</f>
        <v>0.95</v>
      </c>
      <c r="Y104" s="176">
        <f>USD!Y105</f>
        <v>1</v>
      </c>
      <c r="Z104" s="176">
        <f>USD!Z105</f>
        <v>0.9</v>
      </c>
      <c r="AA104" s="176">
        <f>USD!AA105</f>
        <v>0.85</v>
      </c>
    </row>
    <row r="105" spans="15:24" ht="12.75">
      <c r="O105" s="87"/>
      <c r="P105" s="88"/>
      <c r="Q105" s="88"/>
      <c r="R105" s="176"/>
      <c r="S105" s="176"/>
      <c r="T105" s="176"/>
      <c r="U105" s="176"/>
      <c r="V105" s="176"/>
      <c r="W105" s="176"/>
      <c r="X105" s="176"/>
    </row>
  </sheetData>
  <sheetProtection password="84F1" sheet="1" objects="1" scenarios="1"/>
  <mergeCells count="10">
    <mergeCell ref="B2:H2"/>
    <mergeCell ref="A5:B5"/>
    <mergeCell ref="G4:H4"/>
    <mergeCell ref="E5:F5"/>
    <mergeCell ref="G5:H5"/>
    <mergeCell ref="Y25:AA25"/>
    <mergeCell ref="U25:V25"/>
    <mergeCell ref="W25:X25"/>
    <mergeCell ref="A4:B4"/>
    <mergeCell ref="E4:F4"/>
  </mergeCells>
  <dataValidations count="2">
    <dataValidation type="whole" operator="lessThanOrEqual" allowBlank="1" showErrorMessage="1" promptTitle="ошибка " errorTitle="Ошибка ввода" error="Срок кредита не может быть более 25 лет." sqref="C4">
      <formula1>25</formula1>
    </dataValidation>
    <dataValidation type="list" allowBlank="1" showInputMessage="1" showErrorMessage="1" sqref="B2:H2">
      <formula1>$O$27:$O$104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Z104"/>
  <sheetViews>
    <sheetView workbookViewId="0" topLeftCell="A28">
      <selection activeCell="M17" sqref="M17"/>
    </sheetView>
  </sheetViews>
  <sheetFormatPr defaultColWidth="9.00390625" defaultRowHeight="12.75"/>
  <cols>
    <col min="1" max="1" width="32.75390625" style="1" customWidth="1"/>
    <col min="2" max="2" width="15.75390625" style="2" customWidth="1"/>
    <col min="3" max="3" width="6.75390625" style="2" customWidth="1"/>
    <col min="4" max="4" width="15.75390625" style="2" customWidth="1"/>
    <col min="5" max="5" width="6.75390625" style="2" customWidth="1"/>
    <col min="6" max="6" width="15.75390625" style="2" customWidth="1"/>
    <col min="7" max="7" width="6.75390625" style="2" customWidth="1"/>
    <col min="8" max="8" width="15.75390625" style="2" customWidth="1"/>
    <col min="9" max="9" width="6.75390625" style="2" customWidth="1"/>
    <col min="10" max="10" width="15.75390625" style="2" customWidth="1"/>
    <col min="11" max="11" width="9.125" style="2" customWidth="1"/>
    <col min="12" max="12" width="21.125" style="2" bestFit="1" customWidth="1"/>
    <col min="13" max="13" width="10.00390625" style="2" customWidth="1"/>
    <col min="14" max="14" width="11.625" style="2" hidden="1" customWidth="1"/>
    <col min="15" max="15" width="21.625" style="2" hidden="1" customWidth="1"/>
    <col min="16" max="16" width="11.625" style="2" hidden="1" customWidth="1"/>
    <col min="17" max="17" width="0" style="2" hidden="1" customWidth="1"/>
    <col min="18" max="18" width="11.625" style="2" hidden="1" customWidth="1"/>
    <col min="19" max="19" width="12.00390625" style="2" hidden="1" customWidth="1"/>
    <col min="20" max="21" width="0" style="2" hidden="1" customWidth="1"/>
    <col min="22" max="22" width="10.875" style="2" hidden="1" customWidth="1"/>
    <col min="23" max="23" width="12.625" style="2" hidden="1" customWidth="1"/>
    <col min="24" max="27" width="0" style="2" hidden="1" customWidth="1"/>
    <col min="28" max="29" width="9.125" style="2" customWidth="1"/>
    <col min="30" max="30" width="14.25390625" style="2" customWidth="1"/>
    <col min="31" max="31" width="11.625" style="2" customWidth="1"/>
    <col min="32" max="32" width="11.875" style="2" customWidth="1"/>
    <col min="33" max="34" width="9.125" style="2" customWidth="1"/>
    <col min="35" max="35" width="14.375" style="2" bestFit="1" customWidth="1"/>
    <col min="36" max="36" width="11.625" style="2" bestFit="1" customWidth="1"/>
    <col min="37" max="37" width="10.375" style="2" bestFit="1" customWidth="1"/>
    <col min="38" max="39" width="9.125" style="2" customWidth="1"/>
    <col min="40" max="40" width="14.375" style="2" bestFit="1" customWidth="1"/>
    <col min="41" max="42" width="11.625" style="2" bestFit="1" customWidth="1"/>
    <col min="43" max="44" width="9.125" style="2" customWidth="1"/>
    <col min="45" max="45" width="13.125" style="2" bestFit="1" customWidth="1"/>
    <col min="46" max="46" width="9.875" style="2" bestFit="1" customWidth="1"/>
    <col min="47" max="49" width="9.125" style="2" customWidth="1"/>
    <col min="50" max="50" width="18.625" style="2" bestFit="1" customWidth="1"/>
    <col min="51" max="51" width="13.875" style="2" bestFit="1" customWidth="1"/>
    <col min="52" max="52" width="12.75390625" style="2" bestFit="1" customWidth="1"/>
    <col min="53" max="16384" width="9.125" style="2" customWidth="1"/>
  </cols>
  <sheetData>
    <row r="1" ht="13.5" thickBot="1"/>
    <row r="2" spans="1:15" ht="17.25" thickBot="1" thickTop="1">
      <c r="A2" s="31" t="s">
        <v>26</v>
      </c>
      <c r="B2" s="200" t="s">
        <v>141</v>
      </c>
      <c r="C2" s="201"/>
      <c r="D2" s="201"/>
      <c r="E2" s="201"/>
      <c r="F2" s="201"/>
      <c r="G2" s="201"/>
      <c r="H2" s="202"/>
      <c r="I2" s="34"/>
      <c r="J2" s="32">
        <f>O2</f>
        <v>100</v>
      </c>
      <c r="O2" s="7">
        <f>IF(C5&gt;=USD!V114,O6,O5)</f>
        <v>100</v>
      </c>
    </row>
    <row r="3" spans="1:15" ht="14.25" thickBot="1" thickTop="1">
      <c r="A3" s="35"/>
      <c r="B3" s="34"/>
      <c r="C3" s="34"/>
      <c r="D3" s="34"/>
      <c r="E3" s="34"/>
      <c r="F3" s="34"/>
      <c r="G3" s="34"/>
      <c r="H3" s="34"/>
      <c r="I3" s="34"/>
      <c r="J3" s="34"/>
      <c r="O3" s="2">
        <f>VLOOKUP(B2,O27:S104,5,FALSE)</f>
        <v>0.85</v>
      </c>
    </row>
    <row r="4" spans="1:10" ht="17.25" thickBot="1" thickTop="1">
      <c r="A4" s="194" t="s">
        <v>0</v>
      </c>
      <c r="B4" s="195"/>
      <c r="C4" s="33">
        <v>15</v>
      </c>
      <c r="D4" s="54" t="s">
        <v>1</v>
      </c>
      <c r="E4" s="213" t="s">
        <v>52</v>
      </c>
      <c r="F4" s="214"/>
      <c r="G4" s="215"/>
      <c r="H4" s="216"/>
      <c r="I4" s="205">
        <f>IF(C4&lt;=USD!O136,USD!P136,IF(C4&lt;=USD!O137,USD!P137,IF(C4&lt;=USD!O138,USD!P138,IF(C4&lt;=USD!O139,USD!P139,IF(C4&lt;=USD!O140,USD!P140,10)))))</f>
        <v>0.11</v>
      </c>
      <c r="J4" s="193"/>
    </row>
    <row r="5" spans="1:15" ht="17.25" thickBot="1" thickTop="1">
      <c r="A5" s="203" t="s">
        <v>3</v>
      </c>
      <c r="B5" s="204"/>
      <c r="C5" s="33">
        <v>1</v>
      </c>
      <c r="D5" s="34"/>
      <c r="E5" s="213" t="s">
        <v>18</v>
      </c>
      <c r="F5" s="213"/>
      <c r="G5" s="213"/>
      <c r="H5" s="217"/>
      <c r="I5" s="205">
        <f>I4+USD!P141</f>
        <v>0.13</v>
      </c>
      <c r="J5" s="193"/>
      <c r="O5" s="7">
        <f>VLOOKUP(B2,O27:P104,2,FALSE)</f>
        <v>100</v>
      </c>
    </row>
    <row r="6" spans="1:15" ht="17.25" thickBot="1" thickTop="1">
      <c r="A6" s="203" t="s">
        <v>15</v>
      </c>
      <c r="B6" s="204"/>
      <c r="C6" s="33">
        <v>36</v>
      </c>
      <c r="D6" s="54" t="s">
        <v>16</v>
      </c>
      <c r="E6" s="55"/>
      <c r="F6" s="69"/>
      <c r="G6" s="70"/>
      <c r="H6" s="70"/>
      <c r="I6" s="34"/>
      <c r="J6" s="34"/>
      <c r="N6" s="7">
        <f>O2*C5</f>
        <v>100</v>
      </c>
      <c r="O6" s="7">
        <f>VLOOKUP(B2,O27:Q104,3,FALSE)</f>
        <v>85</v>
      </c>
    </row>
    <row r="7" spans="1:10" ht="27" customHeight="1" thickTop="1">
      <c r="A7" s="35"/>
      <c r="B7" s="27" t="s">
        <v>4</v>
      </c>
      <c r="C7" s="34"/>
      <c r="D7" s="27" t="s">
        <v>5</v>
      </c>
      <c r="E7" s="34"/>
      <c r="F7" s="27" t="s">
        <v>6</v>
      </c>
      <c r="G7" s="34"/>
      <c r="H7" s="27" t="s">
        <v>7</v>
      </c>
      <c r="I7" s="34"/>
      <c r="J7" s="27" t="s">
        <v>8</v>
      </c>
    </row>
    <row r="8" spans="1:10" ht="9" customHeight="1" thickBot="1">
      <c r="A8" s="35"/>
      <c r="B8" s="56"/>
      <c r="C8" s="34"/>
      <c r="D8" s="56"/>
      <c r="E8" s="34"/>
      <c r="F8" s="56"/>
      <c r="G8" s="34"/>
      <c r="H8" s="56"/>
      <c r="I8" s="34"/>
      <c r="J8" s="34"/>
    </row>
    <row r="9" spans="1:10" ht="27" customHeight="1" thickBot="1" thickTop="1">
      <c r="A9" s="31" t="s">
        <v>9</v>
      </c>
      <c r="B9" s="39">
        <v>111765</v>
      </c>
      <c r="C9" s="40"/>
      <c r="D9" s="41">
        <f>D11/$O$3</f>
        <v>111764.70588235294</v>
      </c>
      <c r="E9" s="40"/>
      <c r="F9" s="41">
        <f>F11/$O$3</f>
        <v>111767.05882352941</v>
      </c>
      <c r="G9" s="40"/>
      <c r="H9" s="41">
        <f>H11/$O$3</f>
        <v>111767.05882352941</v>
      </c>
      <c r="I9" s="40"/>
      <c r="J9" s="42">
        <f>J19/(1-O3)</f>
        <v>165919.99999999997</v>
      </c>
    </row>
    <row r="10" spans="1:52" ht="9" customHeight="1" thickBot="1" thickTop="1">
      <c r="A10" s="35"/>
      <c r="B10" s="40"/>
      <c r="C10" s="40"/>
      <c r="D10" s="40"/>
      <c r="E10" s="40"/>
      <c r="F10" s="40"/>
      <c r="G10" s="40"/>
      <c r="H10" s="40"/>
      <c r="I10" s="40"/>
      <c r="J10" s="40"/>
      <c r="AD10" s="18"/>
      <c r="AE10" s="19"/>
      <c r="AF10" s="18"/>
      <c r="AI10" s="18"/>
      <c r="AJ10" s="19"/>
      <c r="AK10" s="18"/>
      <c r="AN10" s="18"/>
      <c r="AO10" s="19"/>
      <c r="AP10" s="18"/>
      <c r="AS10" s="18"/>
      <c r="AT10" s="19"/>
      <c r="AU10" s="18"/>
      <c r="AX10" s="18"/>
      <c r="AY10" s="19"/>
      <c r="AZ10" s="18"/>
    </row>
    <row r="11" spans="1:52" s="10" customFormat="1" ht="27" customHeight="1" thickBot="1" thickTop="1">
      <c r="A11" s="31" t="s">
        <v>10</v>
      </c>
      <c r="B11" s="43">
        <f>ROUND(B9*O3,0)</f>
        <v>95000</v>
      </c>
      <c r="C11" s="8"/>
      <c r="D11" s="44">
        <v>95000</v>
      </c>
      <c r="E11" s="9"/>
      <c r="F11" s="43">
        <f>ROUND(F13/(($I$5/12)/(1-(1+($I$5/12))^-($C$4*12))),0)</f>
        <v>95002</v>
      </c>
      <c r="G11" s="9"/>
      <c r="H11" s="43">
        <f>ROUND(H13/(($I$5/12)/(1-(1+($I$5/12))^-($C$4*12))),0)</f>
        <v>95002</v>
      </c>
      <c r="I11" s="9"/>
      <c r="J11" s="45">
        <f>J9-J19</f>
        <v>141031.99999999997</v>
      </c>
      <c r="N11" s="81">
        <f>(B13+$N$6)/USD!$T$123</f>
        <v>2170</v>
      </c>
      <c r="O11" s="81">
        <f>B13/USD!$S$123</f>
        <v>3005</v>
      </c>
      <c r="P11" s="81">
        <f>(D13+$N$6)/USD!$T$123</f>
        <v>2170</v>
      </c>
      <c r="Q11" s="81">
        <f>D13/USD!$S$123</f>
        <v>3005</v>
      </c>
      <c r="R11" s="81">
        <f>(F13+$N$6)/USD!$T$123</f>
        <v>2170</v>
      </c>
      <c r="S11" s="81">
        <f>F13/USD!$S$123</f>
        <v>3005</v>
      </c>
      <c r="V11" s="81">
        <f>(J13+$N$6)/USD!$T$123</f>
        <v>3140</v>
      </c>
      <c r="W11" s="81">
        <f>J13/USD!$S$123</f>
        <v>4460</v>
      </c>
      <c r="AC11" s="2"/>
      <c r="AD11" s="18"/>
      <c r="AE11" s="20"/>
      <c r="AF11" s="18"/>
      <c r="AG11" s="2"/>
      <c r="AH11" s="2"/>
      <c r="AI11" s="18"/>
      <c r="AJ11" s="20"/>
      <c r="AK11" s="18"/>
      <c r="AL11" s="2"/>
      <c r="AM11" s="2"/>
      <c r="AN11" s="18"/>
      <c r="AO11" s="20"/>
      <c r="AP11" s="18"/>
      <c r="AQ11" s="2"/>
      <c r="AR11" s="2"/>
      <c r="AS11" s="18"/>
      <c r="AT11" s="20"/>
      <c r="AU11" s="18"/>
      <c r="AV11" s="2"/>
      <c r="AW11" s="2"/>
      <c r="AX11" s="18"/>
      <c r="AY11" s="20"/>
      <c r="AZ11" s="18"/>
    </row>
    <row r="12" spans="1:52" ht="9" customHeight="1" thickBot="1" thickTop="1">
      <c r="A12" s="36"/>
      <c r="B12" s="9"/>
      <c r="C12" s="9"/>
      <c r="D12" s="9"/>
      <c r="E12" s="40"/>
      <c r="F12" s="9"/>
      <c r="G12" s="40"/>
      <c r="H12" s="9"/>
      <c r="I12" s="40"/>
      <c r="J12" s="9"/>
      <c r="L12" s="10"/>
      <c r="M12" s="12"/>
      <c r="N12" s="80"/>
      <c r="O12" s="81">
        <f>USD!$R$123+0.01</f>
        <v>1000.01</v>
      </c>
      <c r="P12" s="80"/>
      <c r="Q12" s="81">
        <f>USD!$R$123+0.01</f>
        <v>1000.01</v>
      </c>
      <c r="R12" s="80"/>
      <c r="S12" s="81">
        <f>USD!$R$123+0.01</f>
        <v>1000.01</v>
      </c>
      <c r="V12" s="80"/>
      <c r="W12" s="81">
        <f>USD!$R$123+0.01</f>
        <v>1000.01</v>
      </c>
      <c r="AC12" s="10"/>
      <c r="AD12" s="21"/>
      <c r="AE12" s="20"/>
      <c r="AF12" s="18"/>
      <c r="AG12" s="10"/>
      <c r="AH12" s="10"/>
      <c r="AI12" s="21"/>
      <c r="AJ12" s="20"/>
      <c r="AK12" s="18"/>
      <c r="AL12" s="10"/>
      <c r="AM12" s="10"/>
      <c r="AN12" s="21"/>
      <c r="AO12" s="20"/>
      <c r="AP12" s="18"/>
      <c r="AQ12" s="10"/>
      <c r="AR12" s="10"/>
      <c r="AS12" s="21"/>
      <c r="AT12" s="20"/>
      <c r="AU12" s="18"/>
      <c r="AV12" s="10"/>
      <c r="AW12" s="10"/>
      <c r="AX12" s="21"/>
      <c r="AY12" s="20"/>
      <c r="AZ12" s="18"/>
    </row>
    <row r="13" spans="1:52" s="14" customFormat="1" ht="27" customHeight="1" thickBot="1" thickTop="1">
      <c r="A13" s="37" t="s">
        <v>11</v>
      </c>
      <c r="B13" s="46">
        <f>ROUND(B11*(($I$5/12)/(1-(1+($I$5/12))^-($C$4*12))),0)</f>
        <v>1202</v>
      </c>
      <c r="C13" s="23"/>
      <c r="D13" s="46">
        <f>ROUND(D11*(($I$5/12)/(1-(1+($I$5/12))^-($C$4*12))),0)</f>
        <v>1202</v>
      </c>
      <c r="E13" s="47"/>
      <c r="F13" s="48">
        <v>1202</v>
      </c>
      <c r="G13" s="47"/>
      <c r="H13" s="46">
        <f>IF(H17=0,0,IF(H17&lt;=USD!R123,MIN(H17*USD!T123-N6,H17*USD!S123),IF(H17&lt;=USD!R124,MIN(H17*USD!T124-N6,H17*USD!S124),IF(H17&lt;=USD!R125,MIN(H17*USD!T125-N6,H17*USD!S125),IF(H17&lt;=USD!R126,MIN(H17*USD!T126-N6,H17*USD!S126),IF(H17&lt;=USD!R127,MIN(H17*USD!T127-N6,H17*USD!S127),IF(H17&lt;=USD!R128,MIN(H17*USD!T128-N6,H17*USD!S128),MIN(H17*USD!T129-N6,H17*USD!S129))))))))</f>
        <v>1202</v>
      </c>
      <c r="I13" s="47"/>
      <c r="J13" s="46">
        <f>ROUND(J11*(($I$5/12)/(1-(1+($I$5/12))^-($C$4*12))),0)</f>
        <v>1784</v>
      </c>
      <c r="N13" s="81">
        <f>(B13+$N$6)/USD!$T$124</f>
        <v>2003.076923076923</v>
      </c>
      <c r="O13" s="81">
        <f>B13/USD!$S$124</f>
        <v>2671.111111111111</v>
      </c>
      <c r="P13" s="81">
        <f>(D13+$N$6)/USD!$T$124</f>
        <v>2003.076923076923</v>
      </c>
      <c r="Q13" s="81">
        <f>D13/USD!$S$124</f>
        <v>2671.111111111111</v>
      </c>
      <c r="R13" s="81">
        <f>(F13+$N$6)/USD!$T$124</f>
        <v>2003.076923076923</v>
      </c>
      <c r="S13" s="81">
        <f>F13/USD!$S$124</f>
        <v>2671.111111111111</v>
      </c>
      <c r="V13" s="81">
        <f>(J13+$N$6)/USD!$T$124</f>
        <v>2898.4615384615386</v>
      </c>
      <c r="W13" s="81">
        <f>J13/USD!$S$124</f>
        <v>3964.4444444444443</v>
      </c>
      <c r="AC13" s="10"/>
      <c r="AD13" s="21"/>
      <c r="AE13" s="20"/>
      <c r="AF13" s="18"/>
      <c r="AG13" s="2"/>
      <c r="AH13" s="10"/>
      <c r="AI13" s="21"/>
      <c r="AJ13" s="20"/>
      <c r="AK13" s="18"/>
      <c r="AL13" s="2"/>
      <c r="AM13" s="10"/>
      <c r="AN13" s="21"/>
      <c r="AO13" s="20"/>
      <c r="AP13" s="18"/>
      <c r="AQ13" s="2"/>
      <c r="AR13" s="10"/>
      <c r="AS13" s="21"/>
      <c r="AT13" s="20"/>
      <c r="AU13" s="18"/>
      <c r="AV13" s="2"/>
      <c r="AW13" s="10"/>
      <c r="AX13" s="21"/>
      <c r="AY13" s="20"/>
      <c r="AZ13" s="18"/>
    </row>
    <row r="14" spans="1:52" ht="9" customHeight="1" thickTop="1">
      <c r="A14" s="35"/>
      <c r="B14" s="40"/>
      <c r="C14" s="40"/>
      <c r="D14" s="40"/>
      <c r="E14" s="40"/>
      <c r="F14" s="40"/>
      <c r="G14" s="40"/>
      <c r="H14" s="40"/>
      <c r="I14" s="40"/>
      <c r="J14" s="40"/>
      <c r="N14" s="81"/>
      <c r="O14" s="81">
        <f>USD!$R$124+0.01</f>
        <v>2000.01</v>
      </c>
      <c r="P14" s="81"/>
      <c r="Q14" s="81">
        <f>USD!$R$124+0.01</f>
        <v>2000.01</v>
      </c>
      <c r="R14" s="81"/>
      <c r="S14" s="81">
        <f>USD!$R$124+0.01</f>
        <v>2000.01</v>
      </c>
      <c r="V14" s="81"/>
      <c r="W14" s="81">
        <f>USD!$R$124+0.01</f>
        <v>2000.01</v>
      </c>
      <c r="AC14" s="10"/>
      <c r="AD14" s="21"/>
      <c r="AE14" s="20"/>
      <c r="AF14" s="18"/>
      <c r="AG14" s="14"/>
      <c r="AH14" s="10"/>
      <c r="AI14" s="21"/>
      <c r="AJ14" s="20"/>
      <c r="AK14" s="18"/>
      <c r="AL14" s="14"/>
      <c r="AM14" s="10"/>
      <c r="AN14" s="21"/>
      <c r="AO14" s="20"/>
      <c r="AP14" s="18"/>
      <c r="AQ14" s="14"/>
      <c r="AR14" s="10"/>
      <c r="AS14" s="21"/>
      <c r="AT14" s="20"/>
      <c r="AU14" s="18"/>
      <c r="AV14" s="14"/>
      <c r="AW14" s="10"/>
      <c r="AX14" s="21"/>
      <c r="AY14" s="20"/>
      <c r="AZ14" s="18"/>
    </row>
    <row r="15" spans="1:52" ht="27" customHeight="1">
      <c r="A15" s="38" t="s">
        <v>19</v>
      </c>
      <c r="B15" s="46">
        <f>B21*(($I$4/12)/(1-(1+($I$4/12))^-($C$4*12-$C$6)))</f>
        <v>1099.2638877947516</v>
      </c>
      <c r="C15" s="23"/>
      <c r="D15" s="46">
        <f>D21*(($I$4/12)/(1-(1+($I$4/12))^-($C$4*12-$C$6)))</f>
        <v>1099.2638877947516</v>
      </c>
      <c r="E15" s="40"/>
      <c r="F15" s="46">
        <f>F21*(($I$4/12)/(1-(1+($I$4/12))^-($C$4*12-$C$6)))</f>
        <v>1099.300443729728</v>
      </c>
      <c r="G15" s="47"/>
      <c r="H15" s="46">
        <f>H21*(($I$4/12)/(1-(1+($I$4/12))^-($C$4*12-$C$6)))</f>
        <v>1099.300443729728</v>
      </c>
      <c r="I15" s="47"/>
      <c r="J15" s="46">
        <f>J21*(($I$4/12)/(1-(1+($I$4/12))^-($C$4*12-$C$6)))</f>
        <v>1632.1350877722766</v>
      </c>
      <c r="N15" s="81">
        <f>(B13+$N$6)/USD!$T$125</f>
        <v>1860.0000000000002</v>
      </c>
      <c r="O15" s="81">
        <f>B13/USD!$S$125</f>
        <v>2404</v>
      </c>
      <c r="P15" s="81">
        <f>(D13+$N$6)/USD!$T$125</f>
        <v>1860.0000000000002</v>
      </c>
      <c r="Q15" s="81">
        <f>D13/USD!$S$125</f>
        <v>2404</v>
      </c>
      <c r="R15" s="81">
        <f>(F13+$N$6)/USD!$T$125</f>
        <v>1860.0000000000002</v>
      </c>
      <c r="S15" s="81">
        <f>F13/USD!$S$125</f>
        <v>2404</v>
      </c>
      <c r="V15" s="81">
        <f>(J13+$N$6)/USD!$T$125</f>
        <v>2691.4285714285716</v>
      </c>
      <c r="W15" s="81">
        <f>J13/USD!$S$125</f>
        <v>3568</v>
      </c>
      <c r="AC15" s="10"/>
      <c r="AD15" s="21"/>
      <c r="AE15" s="20"/>
      <c r="AF15" s="18"/>
      <c r="AG15" s="14"/>
      <c r="AH15" s="10"/>
      <c r="AI15" s="21"/>
      <c r="AJ15" s="20"/>
      <c r="AK15" s="18"/>
      <c r="AL15" s="14"/>
      <c r="AM15" s="10"/>
      <c r="AN15" s="21"/>
      <c r="AO15" s="20"/>
      <c r="AP15" s="18"/>
      <c r="AQ15" s="14"/>
      <c r="AR15" s="10"/>
      <c r="AS15" s="21"/>
      <c r="AT15" s="20"/>
      <c r="AU15" s="18"/>
      <c r="AV15" s="14"/>
      <c r="AW15" s="10"/>
      <c r="AX15" s="21"/>
      <c r="AY15" s="20"/>
      <c r="AZ15" s="18"/>
    </row>
    <row r="16" spans="1:52" ht="9" customHeight="1" thickBot="1">
      <c r="A16" s="35"/>
      <c r="B16" s="40"/>
      <c r="C16" s="40"/>
      <c r="D16" s="40"/>
      <c r="E16" s="40"/>
      <c r="F16" s="40"/>
      <c r="G16" s="40"/>
      <c r="H16" s="40"/>
      <c r="I16" s="40"/>
      <c r="J16" s="40"/>
      <c r="N16" s="81"/>
      <c r="O16" s="81">
        <f>USD!$R$125+0.01</f>
        <v>3000.01</v>
      </c>
      <c r="P16" s="81"/>
      <c r="Q16" s="81">
        <f>USD!$R$125+0.01</f>
        <v>3000.01</v>
      </c>
      <c r="R16" s="81"/>
      <c r="S16" s="81">
        <f>USD!$R$125+0.01</f>
        <v>3000.01</v>
      </c>
      <c r="V16" s="81"/>
      <c r="W16" s="81">
        <f>USD!$R$125+0.01</f>
        <v>3000.01</v>
      </c>
      <c r="AC16" s="10"/>
      <c r="AD16" s="21"/>
      <c r="AE16" s="20"/>
      <c r="AF16" s="18"/>
      <c r="AG16" s="14"/>
      <c r="AH16" s="10"/>
      <c r="AI16" s="21"/>
      <c r="AJ16" s="20"/>
      <c r="AK16" s="18"/>
      <c r="AL16" s="14"/>
      <c r="AM16" s="10"/>
      <c r="AN16" s="21"/>
      <c r="AO16" s="20"/>
      <c r="AP16" s="18"/>
      <c r="AQ16" s="14"/>
      <c r="AR16" s="10"/>
      <c r="AS16" s="21"/>
      <c r="AT16" s="20"/>
      <c r="AU16" s="18"/>
      <c r="AV16" s="14"/>
      <c r="AW16" s="10"/>
      <c r="AX16" s="21"/>
      <c r="AY16" s="20"/>
      <c r="AZ16" s="18"/>
    </row>
    <row r="17" spans="1:52" ht="27" customHeight="1" thickBot="1" thickTop="1">
      <c r="A17" s="38" t="s">
        <v>12</v>
      </c>
      <c r="B17" s="49">
        <f>IF(B9=0,0,IF(MAX(N11:O11)&lt;=USD!$R$123,MAX(N11:O11),IF(MAX(N13:O13)&lt;=USD!$R$124,MAX(N12:O13),IF(MAX(N15:O15)&lt;=USD!$R$125,MAX(N14:O15),IF(MAX(N17:O17)&lt;=USD!$R$126,MAX(N16:O17),IF(MAX(N19:O19)&lt;=USD!$R$127,MAX(N18:O19),IF(MAX(N21:O21)&lt;=USD!$R$128,MAX(N20:O21),MAX(N22:O23))))))))</f>
        <v>2404</v>
      </c>
      <c r="C17" s="50"/>
      <c r="D17" s="49">
        <f>IF(D9=0,0,IF(MAX(P11:Q11)&lt;=USD!$R$123,MAX(P11:Q11),IF(MAX(P13:Q13)&lt;=USD!$R$124,MAX(P12:Q13),IF(MAX(P15:Q15)&lt;=USD!$R$125,MAX(P14:Q15),IF(MAX(P17:Q17)&lt;=USD!$R$126,MAX(P16:Q17),IF(MAX(P19:Q19)&lt;=USD!$R$127,MAX(P18:Q19),IF(MAX(P21:Q21)&lt;=USD!$R$128,MAX(P20:Q21),MAX(P22:Q23))))))))</f>
        <v>2404</v>
      </c>
      <c r="E17" s="40"/>
      <c r="F17" s="49">
        <f>IF(F9=0,0,IF(MAX(R11:S11)&lt;=USD!$R$123,MAX(R11:S11),IF(MAX(R13:S13)&lt;=USD!$R$124,MAX(R12:S13),IF(MAX(R15:S15)&lt;=USD!$R$125,MAX(R14:S15),IF(MAX(R17:S17)&lt;=USD!$R$126,MAX(R16:S17),IF(MAX(R19:S19)&lt;=USD!$R$127,MAX(R18:S19),IF(MAX(R21:S21)&lt;=USD!$R$128,MAX(R20:S21),MAX(R22:S23))))))))</f>
        <v>2404</v>
      </c>
      <c r="G17" s="40"/>
      <c r="H17" s="51">
        <v>2404</v>
      </c>
      <c r="I17" s="40"/>
      <c r="J17" s="49">
        <f>IF(J9=0,0,IF(MAX(V11:W11)&lt;=USD!$R$123,MAX(V11:W11),IF(MAX(V13:W13)&lt;=USD!$R$124,MAX(V12:W13),IF(MAX(V15:W15)&lt;=USD!$R$125,MAX(V14:W15),IF(MAX(V17:W17)&lt;=USD!$R$126,MAX(V16:W17),IF(MAX(V19:W19)&lt;=USD!$R$127,MAX(V18:W19),IF(MAX(V21:W21)&lt;=USD!$R$128,MAX(V20:W21),MAX(V22:W23))))))))</f>
        <v>3243.6363636363635</v>
      </c>
      <c r="L17" s="13"/>
      <c r="N17" s="81">
        <f>(B13+$N$6)/USD!$T$126</f>
        <v>1736</v>
      </c>
      <c r="O17" s="81">
        <f>B13/USD!$S$126</f>
        <v>2185.4545454545455</v>
      </c>
      <c r="P17" s="81">
        <f>(D13+$N$6)/USD!$T$126</f>
        <v>1736</v>
      </c>
      <c r="Q17" s="81">
        <f>D13/USD!$S$126</f>
        <v>2185.4545454545455</v>
      </c>
      <c r="R17" s="81">
        <f>(F13+$N$6)/USD!$T$126</f>
        <v>1736</v>
      </c>
      <c r="S17" s="81">
        <f>F13/USD!$S$126</f>
        <v>2185.4545454545455</v>
      </c>
      <c r="V17" s="81">
        <f>(J13+$N$6)/USD!$T$126</f>
        <v>2512</v>
      </c>
      <c r="W17" s="81">
        <f>J13/USD!$S$126</f>
        <v>3243.6363636363635</v>
      </c>
      <c r="AC17" s="10"/>
      <c r="AD17" s="21"/>
      <c r="AE17" s="20"/>
      <c r="AF17" s="18"/>
      <c r="AH17" s="10"/>
      <c r="AI17" s="21"/>
      <c r="AJ17" s="20"/>
      <c r="AK17" s="18"/>
      <c r="AM17" s="10"/>
      <c r="AN17" s="21"/>
      <c r="AO17" s="20"/>
      <c r="AP17" s="18"/>
      <c r="AR17" s="10"/>
      <c r="AS17" s="21"/>
      <c r="AT17" s="20"/>
      <c r="AU17" s="18"/>
      <c r="AW17" s="10"/>
      <c r="AX17" s="21"/>
      <c r="AY17" s="20"/>
      <c r="AZ17" s="18"/>
    </row>
    <row r="18" spans="1:52" ht="9" customHeight="1" thickBot="1" thickTop="1">
      <c r="A18" s="35"/>
      <c r="B18" s="26"/>
      <c r="C18" s="40"/>
      <c r="D18" s="40"/>
      <c r="E18" s="40"/>
      <c r="F18" s="40"/>
      <c r="G18" s="40"/>
      <c r="H18" s="40"/>
      <c r="I18" s="40"/>
      <c r="J18" s="40"/>
      <c r="N18" s="79"/>
      <c r="O18" s="81">
        <f>USD!$R$126+0.01</f>
        <v>6000.01</v>
      </c>
      <c r="P18" s="79"/>
      <c r="Q18" s="81">
        <f>USD!$R$126+0.01</f>
        <v>6000.01</v>
      </c>
      <c r="R18" s="79"/>
      <c r="S18" s="81">
        <f>USD!$R$126+0.01</f>
        <v>6000.01</v>
      </c>
      <c r="V18" s="79"/>
      <c r="W18" s="81">
        <f>USD!$R$126+0.01</f>
        <v>6000.01</v>
      </c>
      <c r="AC18" s="10"/>
      <c r="AD18" s="21"/>
      <c r="AE18" s="20"/>
      <c r="AF18" s="18"/>
      <c r="AH18" s="10"/>
      <c r="AI18" s="21"/>
      <c r="AJ18" s="20"/>
      <c r="AK18" s="18"/>
      <c r="AM18" s="10"/>
      <c r="AN18" s="21"/>
      <c r="AO18" s="20"/>
      <c r="AP18" s="18"/>
      <c r="AR18" s="10"/>
      <c r="AS18" s="21"/>
      <c r="AT18" s="20"/>
      <c r="AU18" s="18"/>
      <c r="AW18" s="10"/>
      <c r="AX18" s="21"/>
      <c r="AY18" s="20"/>
      <c r="AZ18" s="18"/>
    </row>
    <row r="19" spans="1:52" ht="27" customHeight="1" thickBot="1" thickTop="1">
      <c r="A19" s="31" t="s">
        <v>13</v>
      </c>
      <c r="B19" s="52">
        <f>B9-B11</f>
        <v>16765</v>
      </c>
      <c r="C19" s="40"/>
      <c r="D19" s="52">
        <f>D9-D11</f>
        <v>16764.705882352937</v>
      </c>
      <c r="E19" s="40"/>
      <c r="F19" s="52">
        <f>F9-F11</f>
        <v>16765.058823529413</v>
      </c>
      <c r="G19" s="40"/>
      <c r="H19" s="52">
        <f>H9-H11</f>
        <v>16765.058823529413</v>
      </c>
      <c r="I19" s="40"/>
      <c r="J19" s="53">
        <v>24888</v>
      </c>
      <c r="N19" s="81">
        <f>(B13+$N$6)/USD!$T$127</f>
        <v>1627.5</v>
      </c>
      <c r="O19" s="81">
        <f>B13/USD!$S$127</f>
        <v>2003.3333333333335</v>
      </c>
      <c r="P19" s="81">
        <f>(D13+$N$6)/USD!$T$127</f>
        <v>1627.5</v>
      </c>
      <c r="Q19" s="81">
        <f>D13/USD!$S$127</f>
        <v>2003.3333333333335</v>
      </c>
      <c r="R19" s="81">
        <f>(F13+$N$6)/USD!$T$127</f>
        <v>1627.5</v>
      </c>
      <c r="S19" s="81">
        <f>F13/USD!$S$127</f>
        <v>2003.3333333333335</v>
      </c>
      <c r="V19" s="81">
        <f>(J13+$N$6)/USD!$T$127</f>
        <v>2355</v>
      </c>
      <c r="W19" s="81">
        <f>J13/USD!$S$127</f>
        <v>2973.3333333333335</v>
      </c>
      <c r="AC19" s="10"/>
      <c r="AD19" s="21"/>
      <c r="AE19" s="20"/>
      <c r="AF19" s="18"/>
      <c r="AH19" s="10"/>
      <c r="AI19" s="21"/>
      <c r="AJ19" s="20"/>
      <c r="AK19" s="18"/>
      <c r="AM19" s="10"/>
      <c r="AN19" s="21"/>
      <c r="AO19" s="20"/>
      <c r="AP19" s="18"/>
      <c r="AR19" s="10"/>
      <c r="AS19" s="21"/>
      <c r="AT19" s="20"/>
      <c r="AU19" s="18"/>
      <c r="AW19" s="10"/>
      <c r="AX19" s="21"/>
      <c r="AY19" s="20"/>
      <c r="AZ19" s="18"/>
    </row>
    <row r="20" spans="1:52" ht="9" customHeight="1" thickTop="1">
      <c r="A20" s="31"/>
      <c r="B20" s="71"/>
      <c r="C20" s="40"/>
      <c r="D20" s="71"/>
      <c r="E20" s="40"/>
      <c r="F20" s="71"/>
      <c r="G20" s="40"/>
      <c r="H20" s="71"/>
      <c r="I20" s="40"/>
      <c r="J20" s="72"/>
      <c r="N20" s="79"/>
      <c r="O20" s="81">
        <f>USD!$R$127+0.01</f>
        <v>9000.01</v>
      </c>
      <c r="P20" s="79"/>
      <c r="Q20" s="81">
        <f>USD!$R$127+0.01</f>
        <v>9000.01</v>
      </c>
      <c r="R20" s="79"/>
      <c r="S20" s="81">
        <f>USD!$R$127+0.01</f>
        <v>9000.01</v>
      </c>
      <c r="V20" s="79"/>
      <c r="W20" s="81">
        <f>USD!$R$127+0.01</f>
        <v>9000.01</v>
      </c>
      <c r="AC20" s="10"/>
      <c r="AD20" s="21"/>
      <c r="AE20" s="20"/>
      <c r="AF20" s="18"/>
      <c r="AH20" s="10"/>
      <c r="AI20" s="21"/>
      <c r="AJ20" s="20"/>
      <c r="AK20" s="18"/>
      <c r="AM20" s="10"/>
      <c r="AN20" s="21"/>
      <c r="AO20" s="20"/>
      <c r="AP20" s="18"/>
      <c r="AR20" s="10"/>
      <c r="AS20" s="21"/>
      <c r="AT20" s="20"/>
      <c r="AU20" s="18"/>
      <c r="AW20" s="10"/>
      <c r="AX20" s="21"/>
      <c r="AY20" s="20"/>
      <c r="AZ20" s="18"/>
    </row>
    <row r="21" spans="1:52" ht="27" customHeight="1">
      <c r="A21" s="38" t="s">
        <v>20</v>
      </c>
      <c r="B21" s="73">
        <f>(B11/POWER(1+$I$5/12,-($C$6-1)))-(B13*(POWER(1+$I$5/12,$C$6-1)-1)/($I$5/12))</f>
        <v>87691.69794429604</v>
      </c>
      <c r="C21" s="26"/>
      <c r="D21" s="73">
        <f>(D11/POWER(1+$I$5/12,-($C$6-1)))-(D13*(POWER(1+$I$5/12,$C$6-1)-1)/($I$5/12))</f>
        <v>87691.69794429604</v>
      </c>
      <c r="E21" s="26"/>
      <c r="F21" s="73">
        <f>(F11/POWER(1+$I$5/12,-($C$6-1)))-(F13*(POWER(1+$I$5/12,$C$6-1)-1)/($I$5/12))</f>
        <v>87694.61412488164</v>
      </c>
      <c r="G21" s="26"/>
      <c r="H21" s="73">
        <f>(H11/POWER(1+$I$5/12,-($C$6-1)))-(H13*(POWER(1+$I$5/12,$C$6-1)-1)/($I$5/12))</f>
        <v>87694.61412488164</v>
      </c>
      <c r="I21" s="26"/>
      <c r="J21" s="73">
        <f>(J11/POWER(1+$I$5/12,-($C$6-1)))-(J13*(POWER(1+$I$5/12,$C$6-1)-1)/($I$5/12))</f>
        <v>130200.49026475166</v>
      </c>
      <c r="N21" s="81">
        <f>(B13+$N$6)/USD!$T$128</f>
        <v>1531.764705882353</v>
      </c>
      <c r="O21" s="81">
        <f>B13/USD!$S$128</f>
        <v>1849.230769230769</v>
      </c>
      <c r="P21" s="81">
        <f>(D13+$N$6)/USD!$T$128</f>
        <v>1531.764705882353</v>
      </c>
      <c r="Q21" s="81">
        <f>D13/USD!$S$128</f>
        <v>1849.230769230769</v>
      </c>
      <c r="R21" s="81">
        <f>(F13+$N$6)/USD!$T$128</f>
        <v>1531.764705882353</v>
      </c>
      <c r="S21" s="81">
        <f>F13/USD!$S$128</f>
        <v>1849.230769230769</v>
      </c>
      <c r="V21" s="81">
        <f>(J13+$N$6)/USD!$T$128</f>
        <v>2216.470588235294</v>
      </c>
      <c r="W21" s="81">
        <f>J13/USD!$S$128</f>
        <v>2744.6153846153843</v>
      </c>
      <c r="AC21" s="10"/>
      <c r="AD21" s="21"/>
      <c r="AE21" s="20"/>
      <c r="AF21" s="18"/>
      <c r="AH21" s="10"/>
      <c r="AI21" s="21"/>
      <c r="AJ21" s="20"/>
      <c r="AK21" s="18"/>
      <c r="AM21" s="10"/>
      <c r="AN21" s="21"/>
      <c r="AO21" s="20"/>
      <c r="AP21" s="18"/>
      <c r="AR21" s="10"/>
      <c r="AS21" s="21"/>
      <c r="AT21" s="20"/>
      <c r="AU21" s="18"/>
      <c r="AW21" s="10"/>
      <c r="AX21" s="21"/>
      <c r="AY21" s="20"/>
      <c r="AZ21" s="18"/>
    </row>
    <row r="22" spans="14:23" ht="12.75">
      <c r="N22" s="79"/>
      <c r="O22" s="81">
        <f>USD!$R$128+0.01</f>
        <v>12000.01</v>
      </c>
      <c r="P22" s="79"/>
      <c r="Q22" s="81">
        <f>USD!$R$128+0.01</f>
        <v>12000.01</v>
      </c>
      <c r="R22" s="79"/>
      <c r="S22" s="81">
        <f>USD!$R$128+0.01</f>
        <v>12000.01</v>
      </c>
      <c r="V22" s="79"/>
      <c r="W22" s="81">
        <f>USD!$R$128+0.01</f>
        <v>12000.01</v>
      </c>
    </row>
    <row r="23" spans="14:23" ht="12.75">
      <c r="N23" s="81">
        <f>(B13+$N$6)/USD!$T$129</f>
        <v>1446.6666666666667</v>
      </c>
      <c r="O23" s="81">
        <f>B13/USD!$S$129</f>
        <v>1717.1428571428573</v>
      </c>
      <c r="P23" s="81">
        <f>(D13+$N$6)/USD!$T$129</f>
        <v>1446.6666666666667</v>
      </c>
      <c r="Q23" s="81">
        <f>D13/USD!$S$129</f>
        <v>1717.1428571428573</v>
      </c>
      <c r="R23" s="81">
        <f>(F13+$N$6)/USD!$T$129</f>
        <v>1446.6666666666667</v>
      </c>
      <c r="S23" s="81">
        <f>F13/USD!$S$129</f>
        <v>1717.1428571428573</v>
      </c>
      <c r="V23" s="81">
        <f>(J13+$N$6)/USD!$T$129</f>
        <v>2093.3333333333335</v>
      </c>
      <c r="W23" s="81">
        <f>J13/USD!$S$129</f>
        <v>2548.571428571429</v>
      </c>
    </row>
    <row r="24" spans="15:18" ht="12.75">
      <c r="O24" s="24"/>
      <c r="P24" s="25"/>
      <c r="Q24" s="30"/>
      <c r="R24" s="25"/>
    </row>
    <row r="25" spans="15:27" ht="12.75">
      <c r="O25" s="24"/>
      <c r="P25" s="25"/>
      <c r="Q25" s="30"/>
      <c r="R25" s="175" t="str">
        <f>USD!R26</f>
        <v>Готовое</v>
      </c>
      <c r="S25" s="175" t="str">
        <f>USD!S26</f>
        <v>Стройка</v>
      </c>
      <c r="T25" s="175" t="str">
        <f>USD!T26</f>
        <v>Нецелевой</v>
      </c>
      <c r="U25" s="199" t="str">
        <f>USD!U26</f>
        <v>Рефинансирование</v>
      </c>
      <c r="V25" s="199"/>
      <c r="W25" s="199" t="str">
        <f>USD!W26</f>
        <v>Сотрудники</v>
      </c>
      <c r="X25" s="199"/>
      <c r="Y25" s="199" t="str">
        <f>USD!Y26</f>
        <v>УЖУ</v>
      </c>
      <c r="Z25" s="199"/>
      <c r="AA25" s="199"/>
    </row>
    <row r="26" spans="15:27" ht="12.75">
      <c r="O26" s="24"/>
      <c r="P26" s="25"/>
      <c r="Q26" s="30"/>
      <c r="R26" s="175"/>
      <c r="S26" s="175"/>
      <c r="T26" s="175"/>
      <c r="U26" s="175" t="str">
        <f>USD!U27</f>
        <v>Готовое</v>
      </c>
      <c r="V26" s="175" t="str">
        <f>USD!V27</f>
        <v>Нецелевой</v>
      </c>
      <c r="W26" s="175" t="str">
        <f>USD!W27</f>
        <v>Готовое</v>
      </c>
      <c r="X26" s="175" t="str">
        <f>USD!X27</f>
        <v>Стройка</v>
      </c>
      <c r="Y26" s="175" t="str">
        <f>USD!Y27</f>
        <v>Собств.</v>
      </c>
      <c r="Z26" s="175" t="str">
        <f>USD!Z27</f>
        <v>Собств.+Покуп.</v>
      </c>
      <c r="AA26" s="175" t="str">
        <f>USD!AA27</f>
        <v>Не продается</v>
      </c>
    </row>
    <row r="27" spans="15:27" ht="12.75">
      <c r="O27" s="87" t="str">
        <f>USD!O28</f>
        <v>Остальные регионы</v>
      </c>
      <c r="P27" s="88">
        <f>USD!P28</f>
        <v>100</v>
      </c>
      <c r="Q27" s="88">
        <f>USD!Q28</f>
        <v>85</v>
      </c>
      <c r="R27" s="176">
        <f>USD!R28</f>
        <v>0.85</v>
      </c>
      <c r="S27" s="176">
        <f>USD!S28</f>
        <v>0.85</v>
      </c>
      <c r="T27" s="176">
        <f>USD!T28</f>
        <v>0.7</v>
      </c>
      <c r="U27" s="176">
        <f>USD!U28</f>
        <v>0.85</v>
      </c>
      <c r="V27" s="176">
        <f>USD!V28</f>
        <v>0.7</v>
      </c>
      <c r="W27" s="176">
        <f>USD!W28</f>
        <v>0.85</v>
      </c>
      <c r="X27" s="176">
        <f>USD!X28</f>
        <v>0.95</v>
      </c>
      <c r="Y27" s="176">
        <f>USD!Y28</f>
        <v>1</v>
      </c>
      <c r="Z27" s="176">
        <f>USD!Z28</f>
        <v>0.9</v>
      </c>
      <c r="AA27" s="176">
        <f>USD!AA28</f>
        <v>0.85</v>
      </c>
    </row>
    <row r="28" spans="15:27" ht="12.75">
      <c r="O28" s="87" t="str">
        <f>USD!O29</f>
        <v>Архангельская область (не включая г. Архангельск)</v>
      </c>
      <c r="P28" s="88">
        <f>USD!P29</f>
        <v>100</v>
      </c>
      <c r="Q28" s="88">
        <f>USD!Q29</f>
        <v>85</v>
      </c>
      <c r="R28" s="176">
        <f>USD!R29</f>
        <v>0.85</v>
      </c>
      <c r="S28" s="176">
        <f>USD!S29</f>
        <v>0.85</v>
      </c>
      <c r="T28" s="176">
        <f>USD!T29</f>
        <v>0.7</v>
      </c>
      <c r="U28" s="176">
        <f>USD!U29</f>
        <v>0.85</v>
      </c>
      <c r="V28" s="176">
        <f>USD!V29</f>
        <v>0.7</v>
      </c>
      <c r="W28" s="176">
        <f>USD!W29</f>
        <v>0.85</v>
      </c>
      <c r="X28" s="176">
        <f>USD!X29</f>
        <v>0.95</v>
      </c>
      <c r="Y28" s="176">
        <f>USD!Y29</f>
        <v>1</v>
      </c>
      <c r="Z28" s="176">
        <f>USD!Z29</f>
        <v>0.9</v>
      </c>
      <c r="AA28" s="176">
        <f>USD!AA29</f>
        <v>0.85</v>
      </c>
    </row>
    <row r="29" spans="15:27" ht="12.75">
      <c r="O29" s="87" t="str">
        <f>USD!O30</f>
        <v>г. Архангельск</v>
      </c>
      <c r="P29" s="88">
        <f>USD!P30</f>
        <v>100</v>
      </c>
      <c r="Q29" s="88">
        <f>USD!Q30</f>
        <v>85</v>
      </c>
      <c r="R29" s="176">
        <f>USD!R30</f>
        <v>0.9</v>
      </c>
      <c r="S29" s="176">
        <f>USD!S30</f>
        <v>0.85</v>
      </c>
      <c r="T29" s="176">
        <f>USD!T30</f>
        <v>0.7</v>
      </c>
      <c r="U29" s="176">
        <f>USD!U30</f>
        <v>0.85</v>
      </c>
      <c r="V29" s="176">
        <f>USD!V30</f>
        <v>0.7</v>
      </c>
      <c r="W29" s="176">
        <f>USD!W30</f>
        <v>0.9</v>
      </c>
      <c r="X29" s="176">
        <f>USD!X30</f>
        <v>0.95</v>
      </c>
      <c r="Y29" s="176">
        <f>USD!Y30</f>
        <v>1</v>
      </c>
      <c r="Z29" s="176">
        <f>USD!Z30</f>
        <v>0.9</v>
      </c>
      <c r="AA29" s="176">
        <f>USD!AA30</f>
        <v>0.85</v>
      </c>
    </row>
    <row r="30" spans="15:27" ht="12.75">
      <c r="O30" s="87" t="str">
        <f>USD!O31</f>
        <v>Астраханская область (не включая г. Астрахань)</v>
      </c>
      <c r="P30" s="88">
        <f>USD!P31</f>
        <v>100</v>
      </c>
      <c r="Q30" s="88">
        <f>USD!Q31</f>
        <v>85</v>
      </c>
      <c r="R30" s="176">
        <f>USD!R31</f>
        <v>0.85</v>
      </c>
      <c r="S30" s="176">
        <f>USD!S31</f>
        <v>0.85</v>
      </c>
      <c r="T30" s="176">
        <f>USD!T31</f>
        <v>0.7</v>
      </c>
      <c r="U30" s="176">
        <f>USD!U31</f>
        <v>0.85</v>
      </c>
      <c r="V30" s="176">
        <f>USD!V31</f>
        <v>0.7</v>
      </c>
      <c r="W30" s="176">
        <f>USD!W31</f>
        <v>0.85</v>
      </c>
      <c r="X30" s="176">
        <f>USD!X31</f>
        <v>0.95</v>
      </c>
      <c r="Y30" s="176">
        <f>USD!Y31</f>
        <v>1</v>
      </c>
      <c r="Z30" s="176">
        <f>USD!Z31</f>
        <v>0.9</v>
      </c>
      <c r="AA30" s="176">
        <f>USD!AA31</f>
        <v>0.85</v>
      </c>
    </row>
    <row r="31" spans="15:27" ht="12.75">
      <c r="O31" s="87" t="str">
        <f>USD!O32</f>
        <v>г. Астрахань</v>
      </c>
      <c r="P31" s="88">
        <f>USD!P32</f>
        <v>100</v>
      </c>
      <c r="Q31" s="88">
        <f>USD!Q32</f>
        <v>85</v>
      </c>
      <c r="R31" s="176">
        <f>USD!R32</f>
        <v>0.9</v>
      </c>
      <c r="S31" s="176">
        <f>USD!S32</f>
        <v>0.85</v>
      </c>
      <c r="T31" s="176">
        <f>USD!T32</f>
        <v>0.7</v>
      </c>
      <c r="U31" s="176">
        <f>USD!U32</f>
        <v>0.85</v>
      </c>
      <c r="V31" s="176">
        <f>USD!V32</f>
        <v>0.7</v>
      </c>
      <c r="W31" s="176">
        <f>USD!W32</f>
        <v>0.9</v>
      </c>
      <c r="X31" s="176">
        <f>USD!X32</f>
        <v>0.95</v>
      </c>
      <c r="Y31" s="176">
        <f>USD!Y32</f>
        <v>1</v>
      </c>
      <c r="Z31" s="176">
        <f>USD!Z32</f>
        <v>0.9</v>
      </c>
      <c r="AA31" s="176">
        <f>USD!AA32</f>
        <v>0.85</v>
      </c>
    </row>
    <row r="32" spans="15:27" ht="12.75">
      <c r="O32" s="87" t="str">
        <f>USD!O33</f>
        <v>Алтайский край (не включая г. Барнаул)</v>
      </c>
      <c r="P32" s="88">
        <f>USD!P33</f>
        <v>100</v>
      </c>
      <c r="Q32" s="88">
        <f>USD!Q33</f>
        <v>85</v>
      </c>
      <c r="R32" s="176">
        <f>USD!R33</f>
        <v>0.85</v>
      </c>
      <c r="S32" s="176">
        <f>USD!S33</f>
        <v>0.85</v>
      </c>
      <c r="T32" s="176">
        <f>USD!T33</f>
        <v>0.7</v>
      </c>
      <c r="U32" s="176">
        <f>USD!U33</f>
        <v>0.85</v>
      </c>
      <c r="V32" s="176">
        <f>USD!V33</f>
        <v>0.7</v>
      </c>
      <c r="W32" s="176">
        <f>USD!W33</f>
        <v>0.85</v>
      </c>
      <c r="X32" s="176">
        <f>USD!X33</f>
        <v>0.95</v>
      </c>
      <c r="Y32" s="176">
        <f>USD!Y33</f>
        <v>1</v>
      </c>
      <c r="Z32" s="176">
        <f>USD!Z33</f>
        <v>0.9</v>
      </c>
      <c r="AA32" s="176">
        <f>USD!AA33</f>
        <v>0.85</v>
      </c>
    </row>
    <row r="33" spans="15:27" ht="12.75">
      <c r="O33" s="87" t="str">
        <f>USD!O34</f>
        <v>г. Барнаул</v>
      </c>
      <c r="P33" s="88">
        <f>USD!P34</f>
        <v>100</v>
      </c>
      <c r="Q33" s="88">
        <f>USD!Q34</f>
        <v>85</v>
      </c>
      <c r="R33" s="176">
        <f>USD!R34</f>
        <v>0.9</v>
      </c>
      <c r="S33" s="176">
        <f>USD!S34</f>
        <v>0.85</v>
      </c>
      <c r="T33" s="176">
        <f>USD!T34</f>
        <v>0.7</v>
      </c>
      <c r="U33" s="176">
        <f>USD!U34</f>
        <v>0.85</v>
      </c>
      <c r="V33" s="176">
        <f>USD!V34</f>
        <v>0.7</v>
      </c>
      <c r="W33" s="176">
        <f>USD!W34</f>
        <v>0.9</v>
      </c>
      <c r="X33" s="176">
        <f>USD!X34</f>
        <v>0.95</v>
      </c>
      <c r="Y33" s="176">
        <f>USD!Y34</f>
        <v>1</v>
      </c>
      <c r="Z33" s="176">
        <f>USD!Z34</f>
        <v>0.9</v>
      </c>
      <c r="AA33" s="176">
        <f>USD!AA34</f>
        <v>0.85</v>
      </c>
    </row>
    <row r="34" spans="15:27" ht="12.75">
      <c r="O34" s="87" t="str">
        <f>USD!O35</f>
        <v>Белгородская область (не включая г. Белгород)</v>
      </c>
      <c r="P34" s="88">
        <f>USD!P35</f>
        <v>100</v>
      </c>
      <c r="Q34" s="88">
        <f>USD!Q35</f>
        <v>85</v>
      </c>
      <c r="R34" s="176">
        <f>USD!R35</f>
        <v>0.85</v>
      </c>
      <c r="S34" s="176">
        <f>USD!S35</f>
        <v>0.85</v>
      </c>
      <c r="T34" s="176">
        <f>USD!T35</f>
        <v>0.7</v>
      </c>
      <c r="U34" s="176">
        <f>USD!U35</f>
        <v>0.85</v>
      </c>
      <c r="V34" s="176">
        <f>USD!V35</f>
        <v>0.7</v>
      </c>
      <c r="W34" s="176">
        <f>USD!W35</f>
        <v>0.85</v>
      </c>
      <c r="X34" s="176">
        <f>USD!X35</f>
        <v>0.95</v>
      </c>
      <c r="Y34" s="176">
        <f>USD!Y35</f>
        <v>1</v>
      </c>
      <c r="Z34" s="176">
        <f>USD!Z35</f>
        <v>0.9</v>
      </c>
      <c r="AA34" s="176">
        <f>USD!AA35</f>
        <v>0.85</v>
      </c>
    </row>
    <row r="35" spans="15:27" ht="12.75">
      <c r="O35" s="87" t="str">
        <f>USD!O36</f>
        <v>г. Белгород</v>
      </c>
      <c r="P35" s="88">
        <f>USD!P36</f>
        <v>100</v>
      </c>
      <c r="Q35" s="88">
        <f>USD!Q36</f>
        <v>85</v>
      </c>
      <c r="R35" s="176">
        <f>USD!R36</f>
        <v>0.9</v>
      </c>
      <c r="S35" s="176">
        <f>USD!S36</f>
        <v>0.85</v>
      </c>
      <c r="T35" s="176">
        <f>USD!T36</f>
        <v>0.7</v>
      </c>
      <c r="U35" s="176">
        <f>USD!U36</f>
        <v>0.85</v>
      </c>
      <c r="V35" s="176">
        <f>USD!V36</f>
        <v>0.7</v>
      </c>
      <c r="W35" s="176">
        <f>USD!W36</f>
        <v>0.9</v>
      </c>
      <c r="X35" s="176">
        <f>USD!X36</f>
        <v>0.95</v>
      </c>
      <c r="Y35" s="176">
        <f>USD!Y36</f>
        <v>1</v>
      </c>
      <c r="Z35" s="176">
        <f>USD!Z36</f>
        <v>0.9</v>
      </c>
      <c r="AA35" s="176">
        <f>USD!AA36</f>
        <v>0.85</v>
      </c>
    </row>
    <row r="36" spans="15:27" ht="12.75">
      <c r="O36" s="87" t="str">
        <f>USD!O37</f>
        <v>Владимирская область (не включая г. Владимир)</v>
      </c>
      <c r="P36" s="88">
        <f>USD!P37</f>
        <v>100</v>
      </c>
      <c r="Q36" s="88">
        <f>USD!Q37</f>
        <v>85</v>
      </c>
      <c r="R36" s="176">
        <f>USD!R37</f>
        <v>0.85</v>
      </c>
      <c r="S36" s="176">
        <f>USD!S37</f>
        <v>0.85</v>
      </c>
      <c r="T36" s="176">
        <f>USD!T37</f>
        <v>0.7</v>
      </c>
      <c r="U36" s="176">
        <f>USD!U37</f>
        <v>0.85</v>
      </c>
      <c r="V36" s="176">
        <f>USD!V37</f>
        <v>0.7</v>
      </c>
      <c r="W36" s="176">
        <f>USD!W37</f>
        <v>0.85</v>
      </c>
      <c r="X36" s="176">
        <f>USD!X37</f>
        <v>0.95</v>
      </c>
      <c r="Y36" s="176">
        <f>USD!Y37</f>
        <v>1</v>
      </c>
      <c r="Z36" s="176">
        <f>USD!Z37</f>
        <v>0.9</v>
      </c>
      <c r="AA36" s="176">
        <f>USD!AA37</f>
        <v>0.85</v>
      </c>
    </row>
    <row r="37" spans="15:27" ht="12.75">
      <c r="O37" s="87" t="str">
        <f>USD!O38</f>
        <v>г. Владимир</v>
      </c>
      <c r="P37" s="88">
        <f>USD!P38</f>
        <v>100</v>
      </c>
      <c r="Q37" s="88">
        <f>USD!Q38</f>
        <v>85</v>
      </c>
      <c r="R37" s="176">
        <f>USD!R38</f>
        <v>0.9</v>
      </c>
      <c r="S37" s="176">
        <f>USD!S38</f>
        <v>0.85</v>
      </c>
      <c r="T37" s="176">
        <f>USD!T38</f>
        <v>0.7</v>
      </c>
      <c r="U37" s="176">
        <f>USD!U38</f>
        <v>0.85</v>
      </c>
      <c r="V37" s="176">
        <f>USD!V38</f>
        <v>0.7</v>
      </c>
      <c r="W37" s="176">
        <f>USD!W38</f>
        <v>0.9</v>
      </c>
      <c r="X37" s="176">
        <f>USD!X38</f>
        <v>0.95</v>
      </c>
      <c r="Y37" s="176">
        <f>USD!Y38</f>
        <v>1</v>
      </c>
      <c r="Z37" s="176">
        <f>USD!Z38</f>
        <v>0.9</v>
      </c>
      <c r="AA37" s="176">
        <f>USD!AA38</f>
        <v>0.85</v>
      </c>
    </row>
    <row r="38" spans="15:27" ht="12.75">
      <c r="O38" s="87" t="str">
        <f>USD!O39</f>
        <v>Волгоградская область (не включая г. Волгоград)</v>
      </c>
      <c r="P38" s="88">
        <f>USD!P39</f>
        <v>100</v>
      </c>
      <c r="Q38" s="88">
        <f>USD!Q39</f>
        <v>85</v>
      </c>
      <c r="R38" s="176">
        <f>USD!R39</f>
        <v>0.85</v>
      </c>
      <c r="S38" s="176">
        <f>USD!S39</f>
        <v>0.85</v>
      </c>
      <c r="T38" s="176">
        <f>USD!T39</f>
        <v>0.7</v>
      </c>
      <c r="U38" s="176">
        <f>USD!U39</f>
        <v>0.85</v>
      </c>
      <c r="V38" s="176">
        <f>USD!V39</f>
        <v>0.7</v>
      </c>
      <c r="W38" s="176">
        <f>USD!W39</f>
        <v>0.85</v>
      </c>
      <c r="X38" s="176">
        <f>USD!X39</f>
        <v>0.95</v>
      </c>
      <c r="Y38" s="176">
        <f>USD!Y39</f>
        <v>1</v>
      </c>
      <c r="Z38" s="176">
        <f>USD!Z39</f>
        <v>0.9</v>
      </c>
      <c r="AA38" s="176">
        <f>USD!AA39</f>
        <v>0.85</v>
      </c>
    </row>
    <row r="39" spans="15:27" ht="12.75">
      <c r="O39" s="87" t="str">
        <f>USD!O40</f>
        <v>г. Волгоград</v>
      </c>
      <c r="P39" s="88">
        <f>USD!P40</f>
        <v>100</v>
      </c>
      <c r="Q39" s="88">
        <f>USD!Q40</f>
        <v>85</v>
      </c>
      <c r="R39" s="176">
        <f>USD!R40</f>
        <v>0.9</v>
      </c>
      <c r="S39" s="176">
        <f>USD!S40</f>
        <v>0.85</v>
      </c>
      <c r="T39" s="176">
        <f>USD!T40</f>
        <v>0.7</v>
      </c>
      <c r="U39" s="176">
        <f>USD!U40</f>
        <v>0.85</v>
      </c>
      <c r="V39" s="176">
        <f>USD!V40</f>
        <v>0.7</v>
      </c>
      <c r="W39" s="176">
        <f>USD!W40</f>
        <v>0.9</v>
      </c>
      <c r="X39" s="176">
        <f>USD!X40</f>
        <v>0.95</v>
      </c>
      <c r="Y39" s="176">
        <f>USD!Y40</f>
        <v>1</v>
      </c>
      <c r="Z39" s="176">
        <f>USD!Z40</f>
        <v>0.9</v>
      </c>
      <c r="AA39" s="176">
        <f>USD!AA40</f>
        <v>0.85</v>
      </c>
    </row>
    <row r="40" spans="15:27" ht="12.75">
      <c r="O40" s="87" t="str">
        <f>USD!O41</f>
        <v>г. Вологда</v>
      </c>
      <c r="P40" s="88">
        <f>USD!P41</f>
        <v>120</v>
      </c>
      <c r="Q40" s="88">
        <f>USD!Q41</f>
        <v>100</v>
      </c>
      <c r="R40" s="176">
        <f>USD!R41</f>
        <v>0.9</v>
      </c>
      <c r="S40" s="176">
        <f>USD!S41</f>
        <v>0.85</v>
      </c>
      <c r="T40" s="176">
        <f>USD!T41</f>
        <v>0.7</v>
      </c>
      <c r="U40" s="176">
        <f>USD!U41</f>
        <v>0.85</v>
      </c>
      <c r="V40" s="176">
        <f>USD!V41</f>
        <v>0.7</v>
      </c>
      <c r="W40" s="176">
        <f>USD!W41</f>
        <v>0.9</v>
      </c>
      <c r="X40" s="176">
        <f>USD!X41</f>
        <v>0.95</v>
      </c>
      <c r="Y40" s="176">
        <f>USD!Y41</f>
        <v>1</v>
      </c>
      <c r="Z40" s="176">
        <f>USD!Z41</f>
        <v>0.9</v>
      </c>
      <c r="AA40" s="176">
        <f>USD!AA41</f>
        <v>0.85</v>
      </c>
    </row>
    <row r="41" spans="15:27" ht="12.75">
      <c r="O41" s="87" t="str">
        <f>USD!O42</f>
        <v>Воронежская область (включая г. Воронеж)</v>
      </c>
      <c r="P41" s="88">
        <f>USD!P42</f>
        <v>100</v>
      </c>
      <c r="Q41" s="88">
        <f>USD!Q42</f>
        <v>85</v>
      </c>
      <c r="R41" s="176">
        <f>USD!R42</f>
        <v>0.85</v>
      </c>
      <c r="S41" s="176">
        <f>USD!S42</f>
        <v>0.85</v>
      </c>
      <c r="T41" s="176">
        <f>USD!T42</f>
        <v>0.7</v>
      </c>
      <c r="U41" s="176">
        <f>USD!U42</f>
        <v>0.85</v>
      </c>
      <c r="V41" s="176">
        <f>USD!V42</f>
        <v>0.7</v>
      </c>
      <c r="W41" s="176">
        <f>USD!W42</f>
        <v>0.85</v>
      </c>
      <c r="X41" s="176">
        <f>USD!X42</f>
        <v>0.95</v>
      </c>
      <c r="Y41" s="176">
        <f>USD!Y42</f>
        <v>1</v>
      </c>
      <c r="Z41" s="176">
        <f>USD!Z42</f>
        <v>0.9</v>
      </c>
      <c r="AA41" s="176">
        <f>USD!AA42</f>
        <v>0.85</v>
      </c>
    </row>
    <row r="42" spans="15:27" ht="12.75">
      <c r="O42" s="87" t="str">
        <f>USD!O43</f>
        <v>Иркутская область (не включая г. Иркутск и г. Ангарск)</v>
      </c>
      <c r="P42" s="88">
        <f>USD!P43</f>
        <v>120</v>
      </c>
      <c r="Q42" s="88">
        <f>USD!Q43</f>
        <v>100</v>
      </c>
      <c r="R42" s="176">
        <f>USD!R43</f>
        <v>0.85</v>
      </c>
      <c r="S42" s="176">
        <f>USD!S43</f>
        <v>0.85</v>
      </c>
      <c r="T42" s="176">
        <f>USD!T43</f>
        <v>0.7</v>
      </c>
      <c r="U42" s="176">
        <f>USD!U43</f>
        <v>0.85</v>
      </c>
      <c r="V42" s="176">
        <f>USD!V43</f>
        <v>0.7</v>
      </c>
      <c r="W42" s="176">
        <f>USD!W43</f>
        <v>0.85</v>
      </c>
      <c r="X42" s="176">
        <f>USD!X43</f>
        <v>0.95</v>
      </c>
      <c r="Y42" s="176">
        <f>USD!Y43</f>
        <v>1</v>
      </c>
      <c r="Z42" s="176">
        <f>USD!Z43</f>
        <v>0.9</v>
      </c>
      <c r="AA42" s="176">
        <f>USD!AA43</f>
        <v>0.85</v>
      </c>
    </row>
    <row r="43" spans="15:27" ht="12.75">
      <c r="O43" s="87" t="str">
        <f>USD!O44</f>
        <v>г. Иркутск</v>
      </c>
      <c r="P43" s="88">
        <f>USD!P44</f>
        <v>120</v>
      </c>
      <c r="Q43" s="88">
        <f>USD!Q44</f>
        <v>100</v>
      </c>
      <c r="R43" s="176">
        <f>USD!R44</f>
        <v>0.9</v>
      </c>
      <c r="S43" s="176">
        <f>USD!S44</f>
        <v>0.85</v>
      </c>
      <c r="T43" s="176">
        <f>USD!T44</f>
        <v>0.7</v>
      </c>
      <c r="U43" s="176">
        <f>USD!U44</f>
        <v>0.85</v>
      </c>
      <c r="V43" s="176">
        <f>USD!V44</f>
        <v>0.7</v>
      </c>
      <c r="W43" s="176">
        <f>USD!W44</f>
        <v>0.9</v>
      </c>
      <c r="X43" s="176">
        <f>USD!X44</f>
        <v>0.95</v>
      </c>
      <c r="Y43" s="176">
        <f>USD!Y44</f>
        <v>1</v>
      </c>
      <c r="Z43" s="176">
        <f>USD!Z44</f>
        <v>0.9</v>
      </c>
      <c r="AA43" s="176">
        <f>USD!AA44</f>
        <v>0.85</v>
      </c>
    </row>
    <row r="44" spans="15:27" ht="12.75">
      <c r="O44" s="87" t="str">
        <f>USD!O45</f>
        <v>г. Ангарск</v>
      </c>
      <c r="P44" s="88">
        <f>USD!P45</f>
        <v>120</v>
      </c>
      <c r="Q44" s="88">
        <f>USD!Q45</f>
        <v>100</v>
      </c>
      <c r="R44" s="176">
        <f>USD!R45</f>
        <v>0.9</v>
      </c>
      <c r="S44" s="176">
        <f>USD!S45</f>
        <v>0.85</v>
      </c>
      <c r="T44" s="176">
        <f>USD!T45</f>
        <v>0.7</v>
      </c>
      <c r="U44" s="176">
        <f>USD!U45</f>
        <v>0.85</v>
      </c>
      <c r="V44" s="176">
        <f>USD!V45</f>
        <v>0.7</v>
      </c>
      <c r="W44" s="176">
        <f>USD!W45</f>
        <v>0.9</v>
      </c>
      <c r="X44" s="176">
        <f>USD!X45</f>
        <v>0.95</v>
      </c>
      <c r="Y44" s="176">
        <f>USD!Y45</f>
        <v>1</v>
      </c>
      <c r="Z44" s="176">
        <f>USD!Z45</f>
        <v>0.9</v>
      </c>
      <c r="AA44" s="176">
        <f>USD!AA45</f>
        <v>0.85</v>
      </c>
    </row>
    <row r="45" spans="15:27" ht="12.75">
      <c r="O45" s="87" t="str">
        <f>USD!O46</f>
        <v>Калининградская область (не включая г. Калининград)</v>
      </c>
      <c r="P45" s="88">
        <f>USD!P46</f>
        <v>100</v>
      </c>
      <c r="Q45" s="88">
        <f>USD!Q46</f>
        <v>85</v>
      </c>
      <c r="R45" s="176">
        <f>USD!R46</f>
        <v>0.85</v>
      </c>
      <c r="S45" s="176">
        <f>USD!S46</f>
        <v>0.85</v>
      </c>
      <c r="T45" s="176">
        <f>USD!T46</f>
        <v>0.7</v>
      </c>
      <c r="U45" s="176">
        <f>USD!U46</f>
        <v>0.85</v>
      </c>
      <c r="V45" s="176">
        <f>USD!V46</f>
        <v>0.7</v>
      </c>
      <c r="W45" s="176">
        <f>USD!W46</f>
        <v>0.85</v>
      </c>
      <c r="X45" s="176">
        <f>USD!X46</f>
        <v>0.95</v>
      </c>
      <c r="Y45" s="176">
        <f>USD!Y46</f>
        <v>1</v>
      </c>
      <c r="Z45" s="176">
        <f>USD!Z46</f>
        <v>0.9</v>
      </c>
      <c r="AA45" s="176">
        <f>USD!AA46</f>
        <v>0.85</v>
      </c>
    </row>
    <row r="46" spans="15:27" ht="12.75">
      <c r="O46" s="87" t="str">
        <f>USD!O47</f>
        <v>г. Калининград</v>
      </c>
      <c r="P46" s="88">
        <f>USD!P47</f>
        <v>100</v>
      </c>
      <c r="Q46" s="88">
        <f>USD!Q47</f>
        <v>85</v>
      </c>
      <c r="R46" s="176">
        <f>USD!R47</f>
        <v>0.9</v>
      </c>
      <c r="S46" s="176">
        <f>USD!S47</f>
        <v>0.85</v>
      </c>
      <c r="T46" s="176">
        <f>USD!T47</f>
        <v>0.7</v>
      </c>
      <c r="U46" s="176">
        <f>USD!U47</f>
        <v>0.85</v>
      </c>
      <c r="V46" s="176">
        <f>USD!V47</f>
        <v>0.7</v>
      </c>
      <c r="W46" s="176">
        <f>USD!W47</f>
        <v>0.9</v>
      </c>
      <c r="X46" s="176">
        <f>USD!X47</f>
        <v>0.95</v>
      </c>
      <c r="Y46" s="176">
        <f>USD!Y47</f>
        <v>1</v>
      </c>
      <c r="Z46" s="176">
        <f>USD!Z47</f>
        <v>0.9</v>
      </c>
      <c r="AA46" s="176">
        <f>USD!AA47</f>
        <v>0.85</v>
      </c>
    </row>
    <row r="47" spans="15:27" ht="12.75">
      <c r="O47" s="87" t="str">
        <f>USD!O48</f>
        <v>Кемеровская область (не включая г. Кемерово)</v>
      </c>
      <c r="P47" s="88">
        <f>USD!P48</f>
        <v>100</v>
      </c>
      <c r="Q47" s="88">
        <f>USD!Q48</f>
        <v>85</v>
      </c>
      <c r="R47" s="176">
        <f>USD!R48</f>
        <v>0.85</v>
      </c>
      <c r="S47" s="176">
        <f>USD!S48</f>
        <v>0.85</v>
      </c>
      <c r="T47" s="176">
        <f>USD!T48</f>
        <v>0.7</v>
      </c>
      <c r="U47" s="176">
        <f>USD!U48</f>
        <v>0.85</v>
      </c>
      <c r="V47" s="176">
        <f>USD!V48</f>
        <v>0.7</v>
      </c>
      <c r="W47" s="176">
        <f>USD!W48</f>
        <v>0.85</v>
      </c>
      <c r="X47" s="176">
        <f>USD!X48</f>
        <v>0.95</v>
      </c>
      <c r="Y47" s="176">
        <f>USD!Y48</f>
        <v>1</v>
      </c>
      <c r="Z47" s="176">
        <f>USD!Z48</f>
        <v>0.9</v>
      </c>
      <c r="AA47" s="176">
        <f>USD!AA48</f>
        <v>0.85</v>
      </c>
    </row>
    <row r="48" spans="15:27" ht="12.75">
      <c r="O48" s="87" t="str">
        <f>USD!O49</f>
        <v>г. Кемерово</v>
      </c>
      <c r="P48" s="88">
        <f>USD!P49</f>
        <v>100</v>
      </c>
      <c r="Q48" s="88">
        <f>USD!Q49</f>
        <v>85</v>
      </c>
      <c r="R48" s="176">
        <f>USD!R49</f>
        <v>0.9</v>
      </c>
      <c r="S48" s="176">
        <f>USD!S49</f>
        <v>0.85</v>
      </c>
      <c r="T48" s="176">
        <f>USD!T49</f>
        <v>0.7</v>
      </c>
      <c r="U48" s="176">
        <f>USD!U49</f>
        <v>0.85</v>
      </c>
      <c r="V48" s="176">
        <f>USD!V49</f>
        <v>0.7</v>
      </c>
      <c r="W48" s="176">
        <f>USD!W49</f>
        <v>0.9</v>
      </c>
      <c r="X48" s="176">
        <f>USD!X49</f>
        <v>0.95</v>
      </c>
      <c r="Y48" s="176">
        <f>USD!Y49</f>
        <v>1</v>
      </c>
      <c r="Z48" s="176">
        <f>USD!Z49</f>
        <v>0.9</v>
      </c>
      <c r="AA48" s="176">
        <f>USD!AA49</f>
        <v>0.85</v>
      </c>
    </row>
    <row r="49" spans="15:27" ht="12.75">
      <c r="O49" s="87" t="str">
        <f>USD!O50</f>
        <v>Костромская область (не включая г. Кострома)</v>
      </c>
      <c r="P49" s="88">
        <f>USD!P50</f>
        <v>100</v>
      </c>
      <c r="Q49" s="88">
        <f>USD!Q50</f>
        <v>85</v>
      </c>
      <c r="R49" s="176">
        <f>USD!R50</f>
        <v>0.85</v>
      </c>
      <c r="S49" s="176">
        <f>USD!S50</f>
        <v>0.85</v>
      </c>
      <c r="T49" s="176">
        <f>USD!T50</f>
        <v>0.7</v>
      </c>
      <c r="U49" s="176">
        <f>USD!U50</f>
        <v>0.85</v>
      </c>
      <c r="V49" s="176">
        <f>USD!V50</f>
        <v>0.7</v>
      </c>
      <c r="W49" s="176">
        <f>USD!W50</f>
        <v>0.85</v>
      </c>
      <c r="X49" s="176">
        <f>USD!X50</f>
        <v>0.95</v>
      </c>
      <c r="Y49" s="176">
        <f>USD!Y50</f>
        <v>1</v>
      </c>
      <c r="Z49" s="176">
        <f>USD!Z50</f>
        <v>0.9</v>
      </c>
      <c r="AA49" s="176">
        <f>USD!AA50</f>
        <v>0.85</v>
      </c>
    </row>
    <row r="50" spans="15:27" ht="12.75">
      <c r="O50" s="87" t="str">
        <f>USD!O51</f>
        <v>г. Кострома</v>
      </c>
      <c r="P50" s="88">
        <f>USD!P51</f>
        <v>100</v>
      </c>
      <c r="Q50" s="88">
        <f>USD!Q51</f>
        <v>85</v>
      </c>
      <c r="R50" s="176">
        <f>USD!R51</f>
        <v>0.9</v>
      </c>
      <c r="S50" s="176">
        <f>USD!S51</f>
        <v>0.85</v>
      </c>
      <c r="T50" s="176">
        <f>USD!T51</f>
        <v>0.7</v>
      </c>
      <c r="U50" s="176">
        <f>USD!U51</f>
        <v>0.85</v>
      </c>
      <c r="V50" s="176">
        <f>USD!V51</f>
        <v>0.7</v>
      </c>
      <c r="W50" s="176">
        <f>USD!W51</f>
        <v>0.9</v>
      </c>
      <c r="X50" s="176">
        <f>USD!X51</f>
        <v>0.95</v>
      </c>
      <c r="Y50" s="176">
        <f>USD!Y51</f>
        <v>1</v>
      </c>
      <c r="Z50" s="176">
        <f>USD!Z51</f>
        <v>0.9</v>
      </c>
      <c r="AA50" s="176">
        <f>USD!AA51</f>
        <v>0.85</v>
      </c>
    </row>
    <row r="51" spans="15:27" ht="12.75">
      <c r="O51" s="87" t="str">
        <f>USD!O52</f>
        <v>Краснодарский край (не включая г. Краснодар и г. Сочи)</v>
      </c>
      <c r="P51" s="88">
        <f>USD!P52</f>
        <v>100</v>
      </c>
      <c r="Q51" s="88">
        <f>USD!Q52</f>
        <v>85</v>
      </c>
      <c r="R51" s="176">
        <f>USD!R52</f>
        <v>0.85</v>
      </c>
      <c r="S51" s="176">
        <f>USD!S52</f>
        <v>0.85</v>
      </c>
      <c r="T51" s="176">
        <f>USD!T52</f>
        <v>0.7</v>
      </c>
      <c r="U51" s="176">
        <f>USD!U52</f>
        <v>0.85</v>
      </c>
      <c r="V51" s="176">
        <f>USD!V52</f>
        <v>0.7</v>
      </c>
      <c r="W51" s="176">
        <f>USD!W52</f>
        <v>0.85</v>
      </c>
      <c r="X51" s="176">
        <f>USD!X52</f>
        <v>0.95</v>
      </c>
      <c r="Y51" s="176">
        <f>USD!Y52</f>
        <v>1</v>
      </c>
      <c r="Z51" s="176">
        <f>USD!Z52</f>
        <v>0.9</v>
      </c>
      <c r="AA51" s="176">
        <f>USD!AA52</f>
        <v>0.85</v>
      </c>
    </row>
    <row r="52" spans="15:27" ht="12.75">
      <c r="O52" s="87" t="str">
        <f>USD!O53</f>
        <v>г. Краснодар</v>
      </c>
      <c r="P52" s="88">
        <f>USD!P53</f>
        <v>100</v>
      </c>
      <c r="Q52" s="88">
        <f>USD!Q53</f>
        <v>85</v>
      </c>
      <c r="R52" s="176">
        <f>USD!R53</f>
        <v>0.9</v>
      </c>
      <c r="S52" s="176">
        <f>USD!S53</f>
        <v>0.85</v>
      </c>
      <c r="T52" s="176">
        <f>USD!T53</f>
        <v>0.7</v>
      </c>
      <c r="U52" s="176">
        <f>USD!U53</f>
        <v>0.85</v>
      </c>
      <c r="V52" s="176">
        <f>USD!V53</f>
        <v>0.7</v>
      </c>
      <c r="W52" s="176">
        <f>USD!W53</f>
        <v>0.9</v>
      </c>
      <c r="X52" s="176">
        <f>USD!X53</f>
        <v>0.95</v>
      </c>
      <c r="Y52" s="176">
        <f>USD!Y53</f>
        <v>1</v>
      </c>
      <c r="Z52" s="176">
        <f>USD!Z53</f>
        <v>0.9</v>
      </c>
      <c r="AA52" s="176">
        <f>USD!AA53</f>
        <v>0.85</v>
      </c>
    </row>
    <row r="53" spans="15:27" ht="12.75">
      <c r="O53" s="87" t="str">
        <f>USD!O54</f>
        <v>г. Сочи</v>
      </c>
      <c r="P53" s="88">
        <f>USD!P54</f>
        <v>100</v>
      </c>
      <c r="Q53" s="88">
        <f>USD!Q54</f>
        <v>85</v>
      </c>
      <c r="R53" s="176">
        <f>USD!R54</f>
        <v>0.9</v>
      </c>
      <c r="S53" s="176">
        <f>USD!S54</f>
        <v>0.85</v>
      </c>
      <c r="T53" s="176">
        <f>USD!T54</f>
        <v>0.7</v>
      </c>
      <c r="U53" s="176">
        <f>USD!U54</f>
        <v>0.85</v>
      </c>
      <c r="V53" s="176">
        <f>USD!V54</f>
        <v>0.7</v>
      </c>
      <c r="W53" s="176">
        <f>USD!W54</f>
        <v>0.9</v>
      </c>
      <c r="X53" s="176">
        <f>USD!X54</f>
        <v>0.95</v>
      </c>
      <c r="Y53" s="176">
        <f>USD!Y54</f>
        <v>1</v>
      </c>
      <c r="Z53" s="176">
        <f>USD!Z54</f>
        <v>0.9</v>
      </c>
      <c r="AA53" s="176">
        <f>USD!AA54</f>
        <v>0.85</v>
      </c>
    </row>
    <row r="54" spans="15:27" ht="12.75">
      <c r="O54" s="87" t="str">
        <f>USD!O55</f>
        <v>Красноярский край (не включая г. Красноярск)</v>
      </c>
      <c r="P54" s="88">
        <f>USD!P55</f>
        <v>100</v>
      </c>
      <c r="Q54" s="88">
        <f>USD!Q55</f>
        <v>85</v>
      </c>
      <c r="R54" s="176">
        <f>USD!R55</f>
        <v>0.85</v>
      </c>
      <c r="S54" s="176">
        <f>USD!S55</f>
        <v>0.85</v>
      </c>
      <c r="T54" s="176">
        <f>USD!T55</f>
        <v>0.7</v>
      </c>
      <c r="U54" s="176">
        <f>USD!U55</f>
        <v>0.85</v>
      </c>
      <c r="V54" s="176">
        <f>USD!V55</f>
        <v>0.7</v>
      </c>
      <c r="W54" s="176">
        <f>USD!W55</f>
        <v>0.85</v>
      </c>
      <c r="X54" s="176">
        <f>USD!X55</f>
        <v>0.95</v>
      </c>
      <c r="Y54" s="176">
        <f>USD!Y55</f>
        <v>1</v>
      </c>
      <c r="Z54" s="176">
        <f>USD!Z55</f>
        <v>0.9</v>
      </c>
      <c r="AA54" s="176">
        <f>USD!AA55</f>
        <v>0.85</v>
      </c>
    </row>
    <row r="55" spans="15:27" ht="12.75">
      <c r="O55" s="87" t="str">
        <f>USD!O56</f>
        <v>г. Красноярск</v>
      </c>
      <c r="P55" s="88">
        <f>USD!P56</f>
        <v>100</v>
      </c>
      <c r="Q55" s="88">
        <f>USD!Q56</f>
        <v>85</v>
      </c>
      <c r="R55" s="176">
        <f>USD!R56</f>
        <v>1</v>
      </c>
      <c r="S55" s="176">
        <f>USD!S56</f>
        <v>0.95</v>
      </c>
      <c r="T55" s="176">
        <f>USD!T56</f>
        <v>0.9</v>
      </c>
      <c r="U55" s="176">
        <f>USD!U56</f>
        <v>0.95</v>
      </c>
      <c r="V55" s="176">
        <f>USD!V56</f>
        <v>0.95</v>
      </c>
      <c r="W55" s="176">
        <f>USD!W56</f>
        <v>1</v>
      </c>
      <c r="X55" s="176">
        <f>USD!X56</f>
        <v>0.95</v>
      </c>
      <c r="Y55" s="176">
        <f>USD!Y56</f>
        <v>1</v>
      </c>
      <c r="Z55" s="176">
        <f>USD!Z56</f>
        <v>0.9</v>
      </c>
      <c r="AA55" s="176">
        <f>USD!AA56</f>
        <v>0.85</v>
      </c>
    </row>
    <row r="56" spans="15:27" ht="12.75">
      <c r="O56" s="87" t="str">
        <f>USD!O57</f>
        <v>Курская область (не включая г. Курск)</v>
      </c>
      <c r="P56" s="88">
        <f>USD!P57</f>
        <v>100</v>
      </c>
      <c r="Q56" s="88">
        <f>USD!Q57</f>
        <v>85</v>
      </c>
      <c r="R56" s="176">
        <f>USD!R57</f>
        <v>0.85</v>
      </c>
      <c r="S56" s="176">
        <f>USD!S57</f>
        <v>0.85</v>
      </c>
      <c r="T56" s="176">
        <f>USD!T57</f>
        <v>0.7</v>
      </c>
      <c r="U56" s="176">
        <f>USD!U57</f>
        <v>0.85</v>
      </c>
      <c r="V56" s="176">
        <f>USD!V57</f>
        <v>0.7</v>
      </c>
      <c r="W56" s="176">
        <f>USD!W57</f>
        <v>0.85</v>
      </c>
      <c r="X56" s="176">
        <f>USD!X57</f>
        <v>0.95</v>
      </c>
      <c r="Y56" s="176">
        <f>USD!Y57</f>
        <v>1</v>
      </c>
      <c r="Z56" s="176">
        <f>USD!Z57</f>
        <v>0.9</v>
      </c>
      <c r="AA56" s="176">
        <f>USD!AA57</f>
        <v>0.85</v>
      </c>
    </row>
    <row r="57" spans="15:27" ht="12.75">
      <c r="O57" s="87" t="str">
        <f>USD!O58</f>
        <v>г. Курск</v>
      </c>
      <c r="P57" s="88">
        <f>USD!P58</f>
        <v>100</v>
      </c>
      <c r="Q57" s="88">
        <f>USD!Q58</f>
        <v>85</v>
      </c>
      <c r="R57" s="176">
        <f>USD!R58</f>
        <v>0.9</v>
      </c>
      <c r="S57" s="176">
        <f>USD!S58</f>
        <v>0.85</v>
      </c>
      <c r="T57" s="176">
        <f>USD!T58</f>
        <v>0.7</v>
      </c>
      <c r="U57" s="176">
        <f>USD!U58</f>
        <v>0.85</v>
      </c>
      <c r="V57" s="176">
        <f>USD!V58</f>
        <v>0.7</v>
      </c>
      <c r="W57" s="176">
        <f>USD!W58</f>
        <v>0.9</v>
      </c>
      <c r="X57" s="176">
        <f>USD!X58</f>
        <v>0.95</v>
      </c>
      <c r="Y57" s="176">
        <f>USD!Y58</f>
        <v>1</v>
      </c>
      <c r="Z57" s="176">
        <f>USD!Z58</f>
        <v>0.9</v>
      </c>
      <c r="AA57" s="176">
        <f>USD!AA58</f>
        <v>0.85</v>
      </c>
    </row>
    <row r="58" spans="15:27" ht="12.75">
      <c r="O58" s="87" t="str">
        <f>USD!O59</f>
        <v>Ленинградская область (включая г. Санкт-Петербург)</v>
      </c>
      <c r="P58" s="88">
        <f>USD!P59</f>
        <v>120</v>
      </c>
      <c r="Q58" s="88">
        <f>USD!Q59</f>
        <v>100</v>
      </c>
      <c r="R58" s="176">
        <f>USD!R59</f>
        <v>1</v>
      </c>
      <c r="S58" s="176">
        <f>USD!S59</f>
        <v>0.95</v>
      </c>
      <c r="T58" s="176">
        <f>USD!T59</f>
        <v>0.9</v>
      </c>
      <c r="U58" s="176">
        <f>USD!U59</f>
        <v>0.95</v>
      </c>
      <c r="V58" s="176">
        <f>USD!V59</f>
        <v>0.95</v>
      </c>
      <c r="W58" s="176">
        <f>USD!W59</f>
        <v>1</v>
      </c>
      <c r="X58" s="176">
        <f>USD!X59</f>
        <v>0.95</v>
      </c>
      <c r="Y58" s="176">
        <f>USD!Y59</f>
        <v>1</v>
      </c>
      <c r="Z58" s="176">
        <f>USD!Z59</f>
        <v>0.9</v>
      </c>
      <c r="AA58" s="176">
        <f>USD!AA59</f>
        <v>0.85</v>
      </c>
    </row>
    <row r="59" spans="15:27" ht="12.75">
      <c r="O59" s="87" t="str">
        <f>USD!O60</f>
        <v>Липецкая область (не включая г. Липецк)</v>
      </c>
      <c r="P59" s="88">
        <f>USD!P60</f>
        <v>100</v>
      </c>
      <c r="Q59" s="88">
        <f>USD!Q60</f>
        <v>85</v>
      </c>
      <c r="R59" s="176">
        <f>USD!R60</f>
        <v>0.85</v>
      </c>
      <c r="S59" s="176">
        <f>USD!S60</f>
        <v>0.85</v>
      </c>
      <c r="T59" s="176">
        <f>USD!T60</f>
        <v>0.7</v>
      </c>
      <c r="U59" s="176">
        <f>USD!U60</f>
        <v>0.85</v>
      </c>
      <c r="V59" s="176">
        <f>USD!V60</f>
        <v>0.7</v>
      </c>
      <c r="W59" s="176">
        <f>USD!W60</f>
        <v>0.85</v>
      </c>
      <c r="X59" s="176">
        <f>USD!X60</f>
        <v>0.95</v>
      </c>
      <c r="Y59" s="176">
        <f>USD!Y60</f>
        <v>1</v>
      </c>
      <c r="Z59" s="176">
        <f>USD!Z60</f>
        <v>0.9</v>
      </c>
      <c r="AA59" s="176">
        <f>USD!AA60</f>
        <v>0.85</v>
      </c>
    </row>
    <row r="60" spans="15:27" ht="12.75">
      <c r="O60" s="87" t="str">
        <f>USD!O61</f>
        <v>г. Липецк</v>
      </c>
      <c r="P60" s="88">
        <f>USD!P61</f>
        <v>100</v>
      </c>
      <c r="Q60" s="88">
        <f>USD!Q61</f>
        <v>85</v>
      </c>
      <c r="R60" s="176">
        <f>USD!R61</f>
        <v>0.9</v>
      </c>
      <c r="S60" s="176">
        <f>USD!S61</f>
        <v>0.85</v>
      </c>
      <c r="T60" s="176">
        <f>USD!T61</f>
        <v>0.7</v>
      </c>
      <c r="U60" s="176">
        <f>USD!U61</f>
        <v>0.85</v>
      </c>
      <c r="V60" s="176">
        <f>USD!V61</f>
        <v>0.7</v>
      </c>
      <c r="W60" s="176">
        <f>USD!W61</f>
        <v>0.9</v>
      </c>
      <c r="X60" s="176">
        <f>USD!X61</f>
        <v>0.95</v>
      </c>
      <c r="Y60" s="176">
        <f>USD!Y61</f>
        <v>1</v>
      </c>
      <c r="Z60" s="176">
        <f>USD!Z61</f>
        <v>0.9</v>
      </c>
      <c r="AA60" s="176">
        <f>USD!AA61</f>
        <v>0.85</v>
      </c>
    </row>
    <row r="61" spans="15:27" ht="12.75">
      <c r="O61" s="87" t="str">
        <f>USD!O62</f>
        <v>Нижегородская область (не включая г. Нижний Новгород)</v>
      </c>
      <c r="P61" s="88">
        <f>USD!P62</f>
        <v>100</v>
      </c>
      <c r="Q61" s="88">
        <f>USD!Q62</f>
        <v>85</v>
      </c>
      <c r="R61" s="176">
        <f>USD!R62</f>
        <v>0.85</v>
      </c>
      <c r="S61" s="176">
        <f>USD!S62</f>
        <v>0.85</v>
      </c>
      <c r="T61" s="176">
        <f>USD!T62</f>
        <v>0.7</v>
      </c>
      <c r="U61" s="176">
        <f>USD!U62</f>
        <v>0.85</v>
      </c>
      <c r="V61" s="176">
        <f>USD!V62</f>
        <v>0.7</v>
      </c>
      <c r="W61" s="176">
        <f>USD!W62</f>
        <v>0.85</v>
      </c>
      <c r="X61" s="176">
        <f>USD!X62</f>
        <v>0.95</v>
      </c>
      <c r="Y61" s="176">
        <f>USD!Y62</f>
        <v>1</v>
      </c>
      <c r="Z61" s="176">
        <f>USD!Z62</f>
        <v>0.9</v>
      </c>
      <c r="AA61" s="176">
        <f>USD!AA62</f>
        <v>0.85</v>
      </c>
    </row>
    <row r="62" spans="15:27" ht="12.75">
      <c r="O62" s="87" t="str">
        <f>USD!O63</f>
        <v>г. Нижний Новгород</v>
      </c>
      <c r="P62" s="88">
        <f>USD!P63</f>
        <v>100</v>
      </c>
      <c r="Q62" s="88">
        <f>USD!Q63</f>
        <v>85</v>
      </c>
      <c r="R62" s="176">
        <f>USD!R63</f>
        <v>1</v>
      </c>
      <c r="S62" s="176">
        <f>USD!S63</f>
        <v>0.95</v>
      </c>
      <c r="T62" s="176">
        <f>USD!T63</f>
        <v>0.9</v>
      </c>
      <c r="U62" s="176">
        <f>USD!U63</f>
        <v>0.95</v>
      </c>
      <c r="V62" s="176">
        <f>USD!V63</f>
        <v>0.95</v>
      </c>
      <c r="W62" s="176">
        <f>USD!W63</f>
        <v>1</v>
      </c>
      <c r="X62" s="176">
        <f>USD!X63</f>
        <v>0.95</v>
      </c>
      <c r="Y62" s="176">
        <f>USD!Y63</f>
        <v>1</v>
      </c>
      <c r="Z62" s="176">
        <f>USD!Z63</f>
        <v>0.9</v>
      </c>
      <c r="AA62" s="176">
        <f>USD!AA63</f>
        <v>0.85</v>
      </c>
    </row>
    <row r="63" spans="15:27" ht="12.75">
      <c r="O63" s="87" t="str">
        <f>USD!O64</f>
        <v>Новосибирская область (не включая г. Новосибирск)</v>
      </c>
      <c r="P63" s="88">
        <f>USD!P64</f>
        <v>100</v>
      </c>
      <c r="Q63" s="88">
        <f>USD!Q64</f>
        <v>85</v>
      </c>
      <c r="R63" s="176">
        <f>USD!R64</f>
        <v>0.85</v>
      </c>
      <c r="S63" s="176">
        <f>USD!S64</f>
        <v>0.85</v>
      </c>
      <c r="T63" s="176">
        <f>USD!T64</f>
        <v>0.7</v>
      </c>
      <c r="U63" s="176">
        <f>USD!U64</f>
        <v>0.85</v>
      </c>
      <c r="V63" s="176">
        <f>USD!V64</f>
        <v>0.7</v>
      </c>
      <c r="W63" s="176">
        <f>USD!W64</f>
        <v>0.85</v>
      </c>
      <c r="X63" s="176">
        <f>USD!X64</f>
        <v>0.95</v>
      </c>
      <c r="Y63" s="176">
        <f>USD!Y64</f>
        <v>1</v>
      </c>
      <c r="Z63" s="176">
        <f>USD!Z64</f>
        <v>0.9</v>
      </c>
      <c r="AA63" s="176">
        <f>USD!AA64</f>
        <v>0.85</v>
      </c>
    </row>
    <row r="64" spans="15:27" ht="12.75">
      <c r="O64" s="87" t="str">
        <f>USD!O65</f>
        <v>г. Новосибирск</v>
      </c>
      <c r="P64" s="88">
        <f>USD!P65</f>
        <v>100</v>
      </c>
      <c r="Q64" s="88">
        <f>USD!Q65</f>
        <v>85</v>
      </c>
      <c r="R64" s="176">
        <f>USD!R65</f>
        <v>1</v>
      </c>
      <c r="S64" s="176">
        <f>USD!S65</f>
        <v>0.95</v>
      </c>
      <c r="T64" s="176">
        <f>USD!T65</f>
        <v>0.9</v>
      </c>
      <c r="U64" s="176">
        <f>USD!U65</f>
        <v>0.95</v>
      </c>
      <c r="V64" s="176">
        <f>USD!V65</f>
        <v>0.95</v>
      </c>
      <c r="W64" s="176">
        <f>USD!W65</f>
        <v>1</v>
      </c>
      <c r="X64" s="176">
        <f>USD!X65</f>
        <v>0.95</v>
      </c>
      <c r="Y64" s="176">
        <f>USD!Y65</f>
        <v>1</v>
      </c>
      <c r="Z64" s="176">
        <f>USD!Z65</f>
        <v>0.9</v>
      </c>
      <c r="AA64" s="176">
        <f>USD!AA65</f>
        <v>0.85</v>
      </c>
    </row>
    <row r="65" spans="15:27" ht="12.75">
      <c r="O65" s="87" t="str">
        <f>USD!O66</f>
        <v>Омская область (не включая г. Омск)</v>
      </c>
      <c r="P65" s="88">
        <f>USD!P66</f>
        <v>100</v>
      </c>
      <c r="Q65" s="88">
        <f>USD!Q66</f>
        <v>85</v>
      </c>
      <c r="R65" s="176">
        <f>USD!R66</f>
        <v>0.85</v>
      </c>
      <c r="S65" s="176">
        <f>USD!S66</f>
        <v>0.85</v>
      </c>
      <c r="T65" s="176">
        <f>USD!T66</f>
        <v>0.7</v>
      </c>
      <c r="U65" s="176">
        <f>USD!U66</f>
        <v>0.85</v>
      </c>
      <c r="V65" s="176">
        <f>USD!V66</f>
        <v>0.7</v>
      </c>
      <c r="W65" s="176">
        <f>USD!W66</f>
        <v>0.85</v>
      </c>
      <c r="X65" s="176">
        <f>USD!X66</f>
        <v>0.95</v>
      </c>
      <c r="Y65" s="176">
        <f>USD!Y66</f>
        <v>1</v>
      </c>
      <c r="Z65" s="176">
        <f>USD!Z66</f>
        <v>0.9</v>
      </c>
      <c r="AA65" s="176">
        <f>USD!AA66</f>
        <v>0.85</v>
      </c>
    </row>
    <row r="66" spans="15:27" ht="12.75">
      <c r="O66" s="87" t="str">
        <f>USD!O67</f>
        <v>г. Омск</v>
      </c>
      <c r="P66" s="88">
        <f>USD!P67</f>
        <v>100</v>
      </c>
      <c r="Q66" s="88">
        <f>USD!Q67</f>
        <v>85</v>
      </c>
      <c r="R66" s="176">
        <f>USD!R67</f>
        <v>0.9</v>
      </c>
      <c r="S66" s="176">
        <f>USD!S67</f>
        <v>0.85</v>
      </c>
      <c r="T66" s="176">
        <f>USD!T67</f>
        <v>0.7</v>
      </c>
      <c r="U66" s="176">
        <f>USD!U67</f>
        <v>0.85</v>
      </c>
      <c r="V66" s="176">
        <f>USD!V67</f>
        <v>0.7</v>
      </c>
      <c r="W66" s="176">
        <f>USD!W67</f>
        <v>0.9</v>
      </c>
      <c r="X66" s="176">
        <f>USD!X67</f>
        <v>0.95</v>
      </c>
      <c r="Y66" s="176">
        <f>USD!Y67</f>
        <v>1</v>
      </c>
      <c r="Z66" s="176">
        <f>USD!Z67</f>
        <v>0.9</v>
      </c>
      <c r="AA66" s="176">
        <f>USD!AA67</f>
        <v>0.85</v>
      </c>
    </row>
    <row r="67" spans="15:27" ht="12.75">
      <c r="O67" s="87" t="str">
        <f>USD!O68</f>
        <v>Пермский край (не включая г. Пермь)</v>
      </c>
      <c r="P67" s="88">
        <f>USD!P68</f>
        <v>100</v>
      </c>
      <c r="Q67" s="88">
        <f>USD!Q68</f>
        <v>85</v>
      </c>
      <c r="R67" s="176">
        <f>USD!R68</f>
        <v>0.85</v>
      </c>
      <c r="S67" s="176">
        <f>USD!S68</f>
        <v>0.85</v>
      </c>
      <c r="T67" s="176">
        <f>USD!T68</f>
        <v>0.7</v>
      </c>
      <c r="U67" s="176">
        <f>USD!U68</f>
        <v>0.85</v>
      </c>
      <c r="V67" s="176">
        <f>USD!V68</f>
        <v>0.7</v>
      </c>
      <c r="W67" s="176">
        <f>USD!W68</f>
        <v>0.85</v>
      </c>
      <c r="X67" s="176">
        <f>USD!X68</f>
        <v>0.95</v>
      </c>
      <c r="Y67" s="176">
        <f>USD!Y68</f>
        <v>1</v>
      </c>
      <c r="Z67" s="176">
        <f>USD!Z68</f>
        <v>0.9</v>
      </c>
      <c r="AA67" s="176">
        <f>USD!AA68</f>
        <v>0.85</v>
      </c>
    </row>
    <row r="68" spans="15:27" ht="12.75">
      <c r="O68" s="87" t="str">
        <f>USD!O69</f>
        <v>г. Пермь</v>
      </c>
      <c r="P68" s="88">
        <f>USD!P69</f>
        <v>100</v>
      </c>
      <c r="Q68" s="88">
        <f>USD!Q69</f>
        <v>85</v>
      </c>
      <c r="R68" s="176">
        <f>USD!R69</f>
        <v>0.9</v>
      </c>
      <c r="S68" s="176">
        <f>USD!S69</f>
        <v>0.85</v>
      </c>
      <c r="T68" s="176">
        <f>USD!T69</f>
        <v>0.7</v>
      </c>
      <c r="U68" s="176">
        <f>USD!U69</f>
        <v>0.85</v>
      </c>
      <c r="V68" s="176">
        <f>USD!V69</f>
        <v>0.7</v>
      </c>
      <c r="W68" s="176">
        <f>USD!W69</f>
        <v>0.9</v>
      </c>
      <c r="X68" s="176">
        <f>USD!X69</f>
        <v>0.95</v>
      </c>
      <c r="Y68" s="176">
        <f>USD!Y69</f>
        <v>1</v>
      </c>
      <c r="Z68" s="176">
        <f>USD!Z69</f>
        <v>0.9</v>
      </c>
      <c r="AA68" s="176">
        <f>USD!AA69</f>
        <v>0.85</v>
      </c>
    </row>
    <row r="69" spans="15:27" ht="12.75">
      <c r="O69" s="87" t="str">
        <f>USD!O70</f>
        <v>Приморский край (включая г. Владивосток)</v>
      </c>
      <c r="P69" s="88">
        <f>USD!P70</f>
        <v>120</v>
      </c>
      <c r="Q69" s="88">
        <f>USD!Q70</f>
        <v>100</v>
      </c>
      <c r="R69" s="176">
        <f>USD!R70</f>
        <v>0.85</v>
      </c>
      <c r="S69" s="176">
        <f>USD!S70</f>
        <v>0.85</v>
      </c>
      <c r="T69" s="176">
        <f>USD!T70</f>
        <v>0.7</v>
      </c>
      <c r="U69" s="176">
        <f>USD!U70</f>
        <v>0.85</v>
      </c>
      <c r="V69" s="176">
        <f>USD!V70</f>
        <v>0.7</v>
      </c>
      <c r="W69" s="176">
        <f>USD!W70</f>
        <v>0.85</v>
      </c>
      <c r="X69" s="176">
        <f>USD!X70</f>
        <v>0.95</v>
      </c>
      <c r="Y69" s="176">
        <f>USD!Y70</f>
        <v>1</v>
      </c>
      <c r="Z69" s="176">
        <f>USD!Z70</f>
        <v>0.9</v>
      </c>
      <c r="AA69" s="176">
        <f>USD!AA70</f>
        <v>0.85</v>
      </c>
    </row>
    <row r="70" spans="15:27" ht="12.75">
      <c r="O70" s="87" t="str">
        <f>USD!O71</f>
        <v>Республика Коми (не включая г. Сыктывкар)</v>
      </c>
      <c r="P70" s="88">
        <f>USD!P71</f>
        <v>100</v>
      </c>
      <c r="Q70" s="88">
        <f>USD!Q71</f>
        <v>85</v>
      </c>
      <c r="R70" s="176">
        <f>USD!R71</f>
        <v>0.85</v>
      </c>
      <c r="S70" s="176">
        <f>USD!S71</f>
        <v>0.85</v>
      </c>
      <c r="T70" s="176">
        <f>USD!T71</f>
        <v>0.7</v>
      </c>
      <c r="U70" s="176">
        <f>USD!U71</f>
        <v>0.85</v>
      </c>
      <c r="V70" s="176">
        <f>USD!V71</f>
        <v>0.7</v>
      </c>
      <c r="W70" s="176">
        <f>USD!W71</f>
        <v>0.85</v>
      </c>
      <c r="X70" s="176">
        <f>USD!X71</f>
        <v>0.95</v>
      </c>
      <c r="Y70" s="176">
        <f>USD!Y71</f>
        <v>1</v>
      </c>
      <c r="Z70" s="176">
        <f>USD!Z71</f>
        <v>0.9</v>
      </c>
      <c r="AA70" s="176">
        <f>USD!AA71</f>
        <v>0.85</v>
      </c>
    </row>
    <row r="71" spans="15:27" ht="12.75">
      <c r="O71" s="87" t="str">
        <f>USD!O72</f>
        <v>г. Сыктывкар</v>
      </c>
      <c r="P71" s="88">
        <f>USD!P72</f>
        <v>100</v>
      </c>
      <c r="Q71" s="88">
        <f>USD!Q72</f>
        <v>85</v>
      </c>
      <c r="R71" s="176">
        <f>USD!R72</f>
        <v>0.9</v>
      </c>
      <c r="S71" s="176">
        <f>USD!S72</f>
        <v>0.85</v>
      </c>
      <c r="T71" s="176">
        <f>USD!T72</f>
        <v>0.7</v>
      </c>
      <c r="U71" s="176">
        <f>USD!U72</f>
        <v>0.85</v>
      </c>
      <c r="V71" s="176">
        <f>USD!V72</f>
        <v>0.7</v>
      </c>
      <c r="W71" s="176">
        <f>USD!W72</f>
        <v>0.9</v>
      </c>
      <c r="X71" s="176">
        <f>USD!X72</f>
        <v>0.95</v>
      </c>
      <c r="Y71" s="176">
        <f>USD!Y72</f>
        <v>1</v>
      </c>
      <c r="Z71" s="176">
        <f>USD!Z72</f>
        <v>0.9</v>
      </c>
      <c r="AA71" s="176">
        <f>USD!AA72</f>
        <v>0.85</v>
      </c>
    </row>
    <row r="72" spans="15:27" ht="12.75">
      <c r="O72" s="87" t="str">
        <f>USD!O73</f>
        <v>Республика Марий Эл (не включая г. Йошкар-Олу)</v>
      </c>
      <c r="P72" s="88">
        <f>USD!P73</f>
        <v>100</v>
      </c>
      <c r="Q72" s="88">
        <f>USD!Q73</f>
        <v>85</v>
      </c>
      <c r="R72" s="176">
        <f>USD!R73</f>
        <v>0.85</v>
      </c>
      <c r="S72" s="176">
        <f>USD!S73</f>
        <v>0.85</v>
      </c>
      <c r="T72" s="176">
        <f>USD!T73</f>
        <v>0.7</v>
      </c>
      <c r="U72" s="176">
        <f>USD!U73</f>
        <v>0.85</v>
      </c>
      <c r="V72" s="176">
        <f>USD!V73</f>
        <v>0.7</v>
      </c>
      <c r="W72" s="176">
        <f>USD!W73</f>
        <v>0.85</v>
      </c>
      <c r="X72" s="176">
        <f>USD!X73</f>
        <v>0.95</v>
      </c>
      <c r="Y72" s="176">
        <f>USD!Y73</f>
        <v>1</v>
      </c>
      <c r="Z72" s="176">
        <f>USD!Z73</f>
        <v>0.9</v>
      </c>
      <c r="AA72" s="176">
        <f>USD!AA73</f>
        <v>0.85</v>
      </c>
    </row>
    <row r="73" spans="15:27" ht="12.75">
      <c r="O73" s="87" t="str">
        <f>USD!O74</f>
        <v>г. Йошкар-Ола</v>
      </c>
      <c r="P73" s="88">
        <f>USD!P74</f>
        <v>100</v>
      </c>
      <c r="Q73" s="88">
        <f>USD!Q74</f>
        <v>85</v>
      </c>
      <c r="R73" s="176">
        <f>USD!R74</f>
        <v>0.9</v>
      </c>
      <c r="S73" s="176">
        <f>USD!S74</f>
        <v>0.85</v>
      </c>
      <c r="T73" s="176">
        <f>USD!T74</f>
        <v>0.7</v>
      </c>
      <c r="U73" s="176">
        <f>USD!U74</f>
        <v>0.85</v>
      </c>
      <c r="V73" s="176">
        <f>USD!V74</f>
        <v>0.7</v>
      </c>
      <c r="W73" s="176">
        <f>USD!W74</f>
        <v>0.9</v>
      </c>
      <c r="X73" s="176">
        <f>USD!X74</f>
        <v>0.95</v>
      </c>
      <c r="Y73" s="176">
        <f>USD!Y74</f>
        <v>1</v>
      </c>
      <c r="Z73" s="176">
        <f>USD!Z74</f>
        <v>0.9</v>
      </c>
      <c r="AA73" s="176">
        <f>USD!AA74</f>
        <v>0.85</v>
      </c>
    </row>
    <row r="74" spans="15:27" ht="12.75">
      <c r="O74" s="87" t="str">
        <f>USD!O75</f>
        <v>Республика Саха (Якутия) (не включая г. Якутск)</v>
      </c>
      <c r="P74" s="88">
        <f>USD!P75</f>
        <v>120</v>
      </c>
      <c r="Q74" s="88">
        <f>USD!Q75</f>
        <v>100</v>
      </c>
      <c r="R74" s="176">
        <f>USD!R75</f>
        <v>0.85</v>
      </c>
      <c r="S74" s="176">
        <f>USD!S75</f>
        <v>0.85</v>
      </c>
      <c r="T74" s="176">
        <f>USD!T75</f>
        <v>0.7</v>
      </c>
      <c r="U74" s="176">
        <f>USD!U75</f>
        <v>0.85</v>
      </c>
      <c r="V74" s="176">
        <f>USD!V75</f>
        <v>0.7</v>
      </c>
      <c r="W74" s="176">
        <f>USD!W75</f>
        <v>0.85</v>
      </c>
      <c r="X74" s="176">
        <f>USD!X75</f>
        <v>0.95</v>
      </c>
      <c r="Y74" s="176">
        <f>USD!Y75</f>
        <v>1</v>
      </c>
      <c r="Z74" s="176">
        <f>USD!Z75</f>
        <v>0.9</v>
      </c>
      <c r="AA74" s="176">
        <f>USD!AA75</f>
        <v>0.85</v>
      </c>
    </row>
    <row r="75" spans="15:27" ht="12.75">
      <c r="O75" s="87" t="str">
        <f>USD!O76</f>
        <v>г. Якутск</v>
      </c>
      <c r="P75" s="88">
        <f>USD!P76</f>
        <v>120</v>
      </c>
      <c r="Q75" s="88">
        <f>USD!Q76</f>
        <v>100</v>
      </c>
      <c r="R75" s="176">
        <f>USD!R76</f>
        <v>0.9</v>
      </c>
      <c r="S75" s="176">
        <f>USD!S76</f>
        <v>0.85</v>
      </c>
      <c r="T75" s="176">
        <f>USD!T76</f>
        <v>0.7</v>
      </c>
      <c r="U75" s="176">
        <f>USD!U76</f>
        <v>0.85</v>
      </c>
      <c r="V75" s="176">
        <f>USD!V76</f>
        <v>0.7</v>
      </c>
      <c r="W75" s="176">
        <f>USD!W76</f>
        <v>0.9</v>
      </c>
      <c r="X75" s="176">
        <f>USD!X76</f>
        <v>0.95</v>
      </c>
      <c r="Y75" s="176">
        <f>USD!Y76</f>
        <v>1</v>
      </c>
      <c r="Z75" s="176">
        <f>USD!Z76</f>
        <v>0.9</v>
      </c>
      <c r="AA75" s="176">
        <f>USD!AA76</f>
        <v>0.85</v>
      </c>
    </row>
    <row r="76" spans="15:27" ht="12.75">
      <c r="O76" s="87" t="str">
        <f>USD!O77</f>
        <v>Республика Татарстан (не включая г. Казань)</v>
      </c>
      <c r="P76" s="88">
        <f>USD!P77</f>
        <v>100</v>
      </c>
      <c r="Q76" s="88">
        <f>USD!Q77</f>
        <v>85</v>
      </c>
      <c r="R76" s="176">
        <f>USD!R77</f>
        <v>0.85</v>
      </c>
      <c r="S76" s="176">
        <f>USD!S77</f>
        <v>0.85</v>
      </c>
      <c r="T76" s="176">
        <f>USD!T77</f>
        <v>0.7</v>
      </c>
      <c r="U76" s="176">
        <f>USD!U77</f>
        <v>0.85</v>
      </c>
      <c r="V76" s="176">
        <f>USD!V77</f>
        <v>0.7</v>
      </c>
      <c r="W76" s="176">
        <f>USD!W77</f>
        <v>0.85</v>
      </c>
      <c r="X76" s="176">
        <f>USD!X77</f>
        <v>0.95</v>
      </c>
      <c r="Y76" s="176">
        <f>USD!Y77</f>
        <v>1</v>
      </c>
      <c r="Z76" s="176">
        <f>USD!Z77</f>
        <v>0.9</v>
      </c>
      <c r="AA76" s="176">
        <f>USD!AA77</f>
        <v>0.85</v>
      </c>
    </row>
    <row r="77" spans="15:27" ht="12.75">
      <c r="O77" s="87" t="str">
        <f>USD!O78</f>
        <v>г. Казань</v>
      </c>
      <c r="P77" s="88">
        <f>USD!P78</f>
        <v>100</v>
      </c>
      <c r="Q77" s="88">
        <f>USD!Q78</f>
        <v>85</v>
      </c>
      <c r="R77" s="176">
        <f>USD!R78</f>
        <v>1</v>
      </c>
      <c r="S77" s="176">
        <f>USD!S78</f>
        <v>0.95</v>
      </c>
      <c r="T77" s="176">
        <f>USD!T78</f>
        <v>0.9</v>
      </c>
      <c r="U77" s="176">
        <f>USD!U78</f>
        <v>0.95</v>
      </c>
      <c r="V77" s="176">
        <f>USD!V78</f>
        <v>0.95</v>
      </c>
      <c r="W77" s="176">
        <f>USD!W78</f>
        <v>1</v>
      </c>
      <c r="X77" s="176">
        <f>USD!X78</f>
        <v>0.95</v>
      </c>
      <c r="Y77" s="176">
        <f>USD!Y78</f>
        <v>1</v>
      </c>
      <c r="Z77" s="176">
        <f>USD!Z78</f>
        <v>0.9</v>
      </c>
      <c r="AA77" s="176">
        <f>USD!AA78</f>
        <v>0.85</v>
      </c>
    </row>
    <row r="78" spans="15:27" ht="12.75">
      <c r="O78" s="87" t="str">
        <f>USD!O79</f>
        <v>Ростовская область (не включая г. Ростов-на-Дону)</v>
      </c>
      <c r="P78" s="88">
        <f>USD!P79</f>
        <v>100</v>
      </c>
      <c r="Q78" s="88">
        <f>USD!Q79</f>
        <v>85</v>
      </c>
      <c r="R78" s="176">
        <f>USD!R79</f>
        <v>0.85</v>
      </c>
      <c r="S78" s="176">
        <f>USD!S79</f>
        <v>0.85</v>
      </c>
      <c r="T78" s="176">
        <f>USD!T79</f>
        <v>0.7</v>
      </c>
      <c r="U78" s="176">
        <f>USD!U79</f>
        <v>0.85</v>
      </c>
      <c r="V78" s="176">
        <f>USD!V79</f>
        <v>0.7</v>
      </c>
      <c r="W78" s="176">
        <f>USD!W79</f>
        <v>0.85</v>
      </c>
      <c r="X78" s="176">
        <f>USD!X79</f>
        <v>0.95</v>
      </c>
      <c r="Y78" s="176">
        <f>USD!Y79</f>
        <v>1</v>
      </c>
      <c r="Z78" s="176">
        <f>USD!Z79</f>
        <v>0.9</v>
      </c>
      <c r="AA78" s="176">
        <f>USD!AA79</f>
        <v>0.85</v>
      </c>
    </row>
    <row r="79" spans="15:27" ht="12.75">
      <c r="O79" s="87" t="str">
        <f>USD!O80</f>
        <v>г. Ростов-на-Дону</v>
      </c>
      <c r="P79" s="88">
        <f>USD!P80</f>
        <v>100</v>
      </c>
      <c r="Q79" s="88">
        <f>USD!Q80</f>
        <v>85</v>
      </c>
      <c r="R79" s="176">
        <f>USD!R80</f>
        <v>0.95</v>
      </c>
      <c r="S79" s="176">
        <f>USD!S80</f>
        <v>0.95</v>
      </c>
      <c r="T79" s="176">
        <f>USD!T80</f>
        <v>0.9</v>
      </c>
      <c r="U79" s="176">
        <f>USD!U80</f>
        <v>0.95</v>
      </c>
      <c r="V79" s="176">
        <f>USD!V80</f>
        <v>0.95</v>
      </c>
      <c r="W79" s="176">
        <f>USD!W80</f>
        <v>0.95</v>
      </c>
      <c r="X79" s="176">
        <f>USD!X80</f>
        <v>0.95</v>
      </c>
      <c r="Y79" s="176">
        <f>USD!Y80</f>
        <v>1</v>
      </c>
      <c r="Z79" s="176">
        <f>USD!Z80</f>
        <v>0.9</v>
      </c>
      <c r="AA79" s="176">
        <f>USD!AA80</f>
        <v>0.85</v>
      </c>
    </row>
    <row r="80" spans="15:27" ht="12.75">
      <c r="O80" s="87" t="str">
        <f>USD!O81</f>
        <v>Самарская область (не включая г. Самара и г. Тольятти)</v>
      </c>
      <c r="P80" s="88">
        <f>USD!P81</f>
        <v>100</v>
      </c>
      <c r="Q80" s="88">
        <f>USD!Q81</f>
        <v>85</v>
      </c>
      <c r="R80" s="176">
        <f>USD!R81</f>
        <v>0.85</v>
      </c>
      <c r="S80" s="176">
        <f>USD!S81</f>
        <v>0.85</v>
      </c>
      <c r="T80" s="176">
        <f>USD!T81</f>
        <v>0.7</v>
      </c>
      <c r="U80" s="176">
        <f>USD!U81</f>
        <v>0.85</v>
      </c>
      <c r="V80" s="176">
        <f>USD!V81</f>
        <v>0.7</v>
      </c>
      <c r="W80" s="176">
        <f>USD!W81</f>
        <v>0.85</v>
      </c>
      <c r="X80" s="176">
        <f>USD!X81</f>
        <v>0.95</v>
      </c>
      <c r="Y80" s="176">
        <f>USD!Y81</f>
        <v>1</v>
      </c>
      <c r="Z80" s="176">
        <f>USD!Z81</f>
        <v>0.9</v>
      </c>
      <c r="AA80" s="176">
        <f>USD!AA81</f>
        <v>0.85</v>
      </c>
    </row>
    <row r="81" spans="15:27" ht="12.75">
      <c r="O81" s="87" t="str">
        <f>USD!O82</f>
        <v>г. Самара</v>
      </c>
      <c r="P81" s="88">
        <f>USD!P82</f>
        <v>100</v>
      </c>
      <c r="Q81" s="88">
        <f>USD!Q82</f>
        <v>85</v>
      </c>
      <c r="R81" s="176">
        <f>USD!R82</f>
        <v>1</v>
      </c>
      <c r="S81" s="176">
        <f>USD!S82</f>
        <v>0.95</v>
      </c>
      <c r="T81" s="176">
        <f>USD!T82</f>
        <v>0.9</v>
      </c>
      <c r="U81" s="176">
        <f>USD!U82</f>
        <v>0.95</v>
      </c>
      <c r="V81" s="176">
        <f>USD!V82</f>
        <v>0.95</v>
      </c>
      <c r="W81" s="176">
        <f>USD!W82</f>
        <v>1</v>
      </c>
      <c r="X81" s="176">
        <f>USD!X82</f>
        <v>0.95</v>
      </c>
      <c r="Y81" s="176">
        <f>USD!Y82</f>
        <v>1</v>
      </c>
      <c r="Z81" s="176">
        <f>USD!Z82</f>
        <v>0.9</v>
      </c>
      <c r="AA81" s="176">
        <f>USD!AA82</f>
        <v>0.85</v>
      </c>
    </row>
    <row r="82" spans="15:27" ht="12.75">
      <c r="O82" s="87" t="str">
        <f>USD!O83</f>
        <v>г. Тольятти</v>
      </c>
      <c r="P82" s="88">
        <f>USD!P83</f>
        <v>100</v>
      </c>
      <c r="Q82" s="88">
        <f>USD!Q83</f>
        <v>85</v>
      </c>
      <c r="R82" s="176">
        <f>USD!R83</f>
        <v>0.9</v>
      </c>
      <c r="S82" s="176">
        <f>USD!S83</f>
        <v>0.85</v>
      </c>
      <c r="T82" s="176">
        <f>USD!T83</f>
        <v>0.7</v>
      </c>
      <c r="U82" s="176">
        <f>USD!U83</f>
        <v>0.85</v>
      </c>
      <c r="V82" s="176">
        <f>USD!V83</f>
        <v>0.7</v>
      </c>
      <c r="W82" s="176">
        <f>USD!W83</f>
        <v>0.9</v>
      </c>
      <c r="X82" s="176">
        <f>USD!X83</f>
        <v>0.95</v>
      </c>
      <c r="Y82" s="176">
        <f>USD!Y83</f>
        <v>1</v>
      </c>
      <c r="Z82" s="176">
        <f>USD!Z83</f>
        <v>0.9</v>
      </c>
      <c r="AA82" s="176">
        <f>USD!AA83</f>
        <v>0.85</v>
      </c>
    </row>
    <row r="83" spans="15:27" ht="12.75">
      <c r="O83" s="87" t="str">
        <f>USD!O84</f>
        <v>Саратовская область (включая г. Саратов)</v>
      </c>
      <c r="P83" s="88">
        <f>USD!P84</f>
        <v>100</v>
      </c>
      <c r="Q83" s="88">
        <f>USD!Q84</f>
        <v>85</v>
      </c>
      <c r="R83" s="176">
        <f>USD!R84</f>
        <v>0.85</v>
      </c>
      <c r="S83" s="176">
        <f>USD!S84</f>
        <v>0.85</v>
      </c>
      <c r="T83" s="176">
        <f>USD!T84</f>
        <v>0.7</v>
      </c>
      <c r="U83" s="176">
        <f>USD!U84</f>
        <v>0.85</v>
      </c>
      <c r="V83" s="176">
        <f>USD!V84</f>
        <v>0.7</v>
      </c>
      <c r="W83" s="176">
        <f>USD!W84</f>
        <v>0.85</v>
      </c>
      <c r="X83" s="176">
        <f>USD!X84</f>
        <v>0.95</v>
      </c>
      <c r="Y83" s="176">
        <f>USD!Y84</f>
        <v>1</v>
      </c>
      <c r="Z83" s="176">
        <f>USD!Z84</f>
        <v>0.9</v>
      </c>
      <c r="AA83" s="176">
        <f>USD!AA84</f>
        <v>0.85</v>
      </c>
    </row>
    <row r="84" spans="15:27" ht="12.75">
      <c r="O84" s="87" t="str">
        <f>USD!O85</f>
        <v>Свердловская область (не включая г. Екатеринбург)</v>
      </c>
      <c r="P84" s="88">
        <f>USD!P85</f>
        <v>100</v>
      </c>
      <c r="Q84" s="88">
        <f>USD!Q85</f>
        <v>85</v>
      </c>
      <c r="R84" s="176">
        <f>USD!R85</f>
        <v>0.85</v>
      </c>
      <c r="S84" s="176">
        <f>USD!S85</f>
        <v>0.85</v>
      </c>
      <c r="T84" s="176">
        <f>USD!T85</f>
        <v>0.7</v>
      </c>
      <c r="U84" s="176">
        <f>USD!U85</f>
        <v>0.85</v>
      </c>
      <c r="V84" s="176">
        <f>USD!V85</f>
        <v>0.7</v>
      </c>
      <c r="W84" s="176">
        <f>USD!W85</f>
        <v>0.85</v>
      </c>
      <c r="X84" s="176">
        <f>USD!X85</f>
        <v>0.95</v>
      </c>
      <c r="Y84" s="176">
        <f>USD!Y85</f>
        <v>1</v>
      </c>
      <c r="Z84" s="176">
        <f>USD!Z85</f>
        <v>0.9</v>
      </c>
      <c r="AA84" s="176">
        <f>USD!AA85</f>
        <v>0.85</v>
      </c>
    </row>
    <row r="85" spans="15:27" ht="12.75">
      <c r="O85" s="87" t="str">
        <f>USD!O86</f>
        <v>г. Екатеринбург</v>
      </c>
      <c r="P85" s="88">
        <f>USD!P86</f>
        <v>100</v>
      </c>
      <c r="Q85" s="88">
        <f>USD!Q86</f>
        <v>85</v>
      </c>
      <c r="R85" s="176">
        <f>USD!R86</f>
        <v>1</v>
      </c>
      <c r="S85" s="176">
        <f>USD!S86</f>
        <v>0.95</v>
      </c>
      <c r="T85" s="176">
        <f>USD!T86</f>
        <v>0.9</v>
      </c>
      <c r="U85" s="176">
        <f>USD!U86</f>
        <v>0.95</v>
      </c>
      <c r="V85" s="176">
        <f>USD!V86</f>
        <v>0.95</v>
      </c>
      <c r="W85" s="176">
        <f>USD!W86</f>
        <v>1</v>
      </c>
      <c r="X85" s="176">
        <f>USD!X86</f>
        <v>0.95</v>
      </c>
      <c r="Y85" s="176">
        <f>USD!Y86</f>
        <v>1</v>
      </c>
      <c r="Z85" s="176">
        <f>USD!Z86</f>
        <v>0.9</v>
      </c>
      <c r="AA85" s="176">
        <f>USD!AA86</f>
        <v>0.85</v>
      </c>
    </row>
    <row r="86" spans="15:27" ht="12.75">
      <c r="O86" s="87" t="str">
        <f>USD!O87</f>
        <v>Смоленская область (не включая г. Смоленск)</v>
      </c>
      <c r="P86" s="88">
        <f>USD!P87</f>
        <v>100</v>
      </c>
      <c r="Q86" s="88">
        <f>USD!Q87</f>
        <v>85</v>
      </c>
      <c r="R86" s="176">
        <f>USD!R87</f>
        <v>0.85</v>
      </c>
      <c r="S86" s="176">
        <f>USD!S87</f>
        <v>0.85</v>
      </c>
      <c r="T86" s="176">
        <f>USD!T87</f>
        <v>0.7</v>
      </c>
      <c r="U86" s="176">
        <f>USD!U87</f>
        <v>0.85</v>
      </c>
      <c r="V86" s="176">
        <f>USD!V87</f>
        <v>0.7</v>
      </c>
      <c r="W86" s="176">
        <f>USD!W87</f>
        <v>0.85</v>
      </c>
      <c r="X86" s="176">
        <f>USD!X87</f>
        <v>0.95</v>
      </c>
      <c r="Y86" s="176">
        <f>USD!Y87</f>
        <v>1</v>
      </c>
      <c r="Z86" s="176">
        <f>USD!Z87</f>
        <v>0.9</v>
      </c>
      <c r="AA86" s="176">
        <f>USD!AA87</f>
        <v>0.85</v>
      </c>
    </row>
    <row r="87" spans="15:27" ht="12.75">
      <c r="O87" s="87" t="str">
        <f>USD!O88</f>
        <v>г. Смоленск</v>
      </c>
      <c r="P87" s="88">
        <f>USD!P88</f>
        <v>100</v>
      </c>
      <c r="Q87" s="88">
        <f>USD!Q88</f>
        <v>85</v>
      </c>
      <c r="R87" s="176">
        <f>USD!R88</f>
        <v>0.9</v>
      </c>
      <c r="S87" s="176">
        <f>USD!S88</f>
        <v>0.85</v>
      </c>
      <c r="T87" s="176">
        <f>USD!T88</f>
        <v>0.7</v>
      </c>
      <c r="U87" s="176">
        <f>USD!U88</f>
        <v>0.85</v>
      </c>
      <c r="V87" s="176">
        <f>USD!V88</f>
        <v>0.7</v>
      </c>
      <c r="W87" s="176">
        <f>USD!W88</f>
        <v>0.9</v>
      </c>
      <c r="X87" s="176">
        <f>USD!X88</f>
        <v>0.95</v>
      </c>
      <c r="Y87" s="176">
        <f>USD!Y88</f>
        <v>1</v>
      </c>
      <c r="Z87" s="176">
        <f>USD!Z88</f>
        <v>0.9</v>
      </c>
      <c r="AA87" s="176">
        <f>USD!AA88</f>
        <v>0.85</v>
      </c>
    </row>
    <row r="88" spans="15:27" ht="12.75">
      <c r="O88" s="87" t="str">
        <f>USD!O89</f>
        <v>Тульская область (не включая г. Тула и г. Новомосковск)</v>
      </c>
      <c r="P88" s="88">
        <f>USD!P89</f>
        <v>100</v>
      </c>
      <c r="Q88" s="88">
        <f>USD!Q89</f>
        <v>85</v>
      </c>
      <c r="R88" s="176">
        <f>USD!R89</f>
        <v>0.85</v>
      </c>
      <c r="S88" s="176">
        <f>USD!S89</f>
        <v>0.85</v>
      </c>
      <c r="T88" s="176">
        <f>USD!T89</f>
        <v>0.7</v>
      </c>
      <c r="U88" s="176">
        <f>USD!U89</f>
        <v>0.85</v>
      </c>
      <c r="V88" s="176">
        <f>USD!V89</f>
        <v>0.7</v>
      </c>
      <c r="W88" s="176">
        <f>USD!W89</f>
        <v>0.85</v>
      </c>
      <c r="X88" s="176">
        <f>USD!X89</f>
        <v>0.95</v>
      </c>
      <c r="Y88" s="176">
        <f>USD!Y89</f>
        <v>1</v>
      </c>
      <c r="Z88" s="176">
        <f>USD!Z89</f>
        <v>0.9</v>
      </c>
      <c r="AA88" s="176">
        <f>USD!AA89</f>
        <v>0.85</v>
      </c>
    </row>
    <row r="89" spans="15:27" ht="12.75">
      <c r="O89" s="87" t="str">
        <f>USD!O90</f>
        <v>г. Тула</v>
      </c>
      <c r="P89" s="88">
        <f>USD!P90</f>
        <v>100</v>
      </c>
      <c r="Q89" s="88">
        <f>USD!Q90</f>
        <v>85</v>
      </c>
      <c r="R89" s="176">
        <f>USD!R90</f>
        <v>0.9</v>
      </c>
      <c r="S89" s="176">
        <f>USD!S90</f>
        <v>0.85</v>
      </c>
      <c r="T89" s="176">
        <f>USD!T90</f>
        <v>0.7</v>
      </c>
      <c r="U89" s="176">
        <f>USD!U90</f>
        <v>0.85</v>
      </c>
      <c r="V89" s="176">
        <f>USD!V90</f>
        <v>0.7</v>
      </c>
      <c r="W89" s="176">
        <f>USD!W90</f>
        <v>0.9</v>
      </c>
      <c r="X89" s="176">
        <f>USD!X90</f>
        <v>0.95</v>
      </c>
      <c r="Y89" s="176">
        <f>USD!Y90</f>
        <v>1</v>
      </c>
      <c r="Z89" s="176">
        <f>USD!Z90</f>
        <v>0.9</v>
      </c>
      <c r="AA89" s="176">
        <f>USD!AA90</f>
        <v>0.85</v>
      </c>
    </row>
    <row r="90" spans="15:27" ht="12.75">
      <c r="O90" s="87" t="str">
        <f>USD!O91</f>
        <v>г. Новомосковск</v>
      </c>
      <c r="P90" s="88">
        <f>USD!P91</f>
        <v>100</v>
      </c>
      <c r="Q90" s="88">
        <f>USD!Q91</f>
        <v>85</v>
      </c>
      <c r="R90" s="176">
        <f>USD!R91</f>
        <v>0.9</v>
      </c>
      <c r="S90" s="176">
        <f>USD!S91</f>
        <v>0.85</v>
      </c>
      <c r="T90" s="176">
        <f>USD!T91</f>
        <v>0.7</v>
      </c>
      <c r="U90" s="176">
        <f>USD!U91</f>
        <v>0.85</v>
      </c>
      <c r="V90" s="176">
        <f>USD!V91</f>
        <v>0.7</v>
      </c>
      <c r="W90" s="176">
        <f>USD!W91</f>
        <v>0.9</v>
      </c>
      <c r="X90" s="176">
        <f>USD!X91</f>
        <v>0.95</v>
      </c>
      <c r="Y90" s="176">
        <f>USD!Y91</f>
        <v>1</v>
      </c>
      <c r="Z90" s="176">
        <f>USD!Z91</f>
        <v>0.9</v>
      </c>
      <c r="AA90" s="176">
        <f>USD!AA91</f>
        <v>0.85</v>
      </c>
    </row>
    <row r="91" spans="15:27" ht="12.75">
      <c r="O91" s="87" t="str">
        <f>USD!O92</f>
        <v>Тверская область (включая г. Тверь)</v>
      </c>
      <c r="P91" s="88">
        <f>USD!P92</f>
        <v>100</v>
      </c>
      <c r="Q91" s="88">
        <f>USD!Q92</f>
        <v>85</v>
      </c>
      <c r="R91" s="176">
        <f>USD!R92</f>
        <v>0.85</v>
      </c>
      <c r="S91" s="176">
        <f>USD!S92</f>
        <v>0.85</v>
      </c>
      <c r="T91" s="176">
        <f>USD!T92</f>
        <v>0.7</v>
      </c>
      <c r="U91" s="176">
        <f>USD!U92</f>
        <v>0.85</v>
      </c>
      <c r="V91" s="176">
        <f>USD!V92</f>
        <v>0.7</v>
      </c>
      <c r="W91" s="176">
        <f>USD!W92</f>
        <v>0.85</v>
      </c>
      <c r="X91" s="176">
        <f>USD!X92</f>
        <v>0.95</v>
      </c>
      <c r="Y91" s="176">
        <f>USD!Y92</f>
        <v>1</v>
      </c>
      <c r="Z91" s="176">
        <f>USD!Z92</f>
        <v>0.9</v>
      </c>
      <c r="AA91" s="176">
        <f>USD!AA92</f>
        <v>0.85</v>
      </c>
    </row>
    <row r="92" spans="15:27" ht="12.75">
      <c r="O92" s="87" t="str">
        <f>USD!O93</f>
        <v>Томская область (не включая г. Томск)</v>
      </c>
      <c r="P92" s="88">
        <f>USD!P93</f>
        <v>100</v>
      </c>
      <c r="Q92" s="88">
        <f>USD!Q93</f>
        <v>85</v>
      </c>
      <c r="R92" s="176">
        <f>USD!R93</f>
        <v>0.85</v>
      </c>
      <c r="S92" s="176">
        <f>USD!S93</f>
        <v>0.85</v>
      </c>
      <c r="T92" s="176">
        <f>USD!T93</f>
        <v>0.7</v>
      </c>
      <c r="U92" s="176">
        <f>USD!U93</f>
        <v>0.85</v>
      </c>
      <c r="V92" s="176">
        <f>USD!V93</f>
        <v>0.7</v>
      </c>
      <c r="W92" s="176">
        <f>USD!W93</f>
        <v>0.85</v>
      </c>
      <c r="X92" s="176">
        <f>USD!X93</f>
        <v>0.95</v>
      </c>
      <c r="Y92" s="176">
        <f>USD!Y93</f>
        <v>1</v>
      </c>
      <c r="Z92" s="176">
        <f>USD!Z93</f>
        <v>0.9</v>
      </c>
      <c r="AA92" s="176">
        <f>USD!AA93</f>
        <v>0.85</v>
      </c>
    </row>
    <row r="93" spans="15:27" ht="12.75">
      <c r="O93" s="87" t="str">
        <f>USD!O94</f>
        <v>г. Томск</v>
      </c>
      <c r="P93" s="88">
        <f>USD!P94</f>
        <v>100</v>
      </c>
      <c r="Q93" s="88">
        <f>USD!Q94</f>
        <v>85</v>
      </c>
      <c r="R93" s="176">
        <f>USD!R94</f>
        <v>0.9</v>
      </c>
      <c r="S93" s="176">
        <f>USD!S94</f>
        <v>0.85</v>
      </c>
      <c r="T93" s="176">
        <f>USD!T94</f>
        <v>0.7</v>
      </c>
      <c r="U93" s="176">
        <f>USD!U94</f>
        <v>0.85</v>
      </c>
      <c r="V93" s="176">
        <f>USD!V94</f>
        <v>0.7</v>
      </c>
      <c r="W93" s="176">
        <f>USD!W94</f>
        <v>0.9</v>
      </c>
      <c r="X93" s="176">
        <f>USD!X94</f>
        <v>0.95</v>
      </c>
      <c r="Y93" s="176">
        <f>USD!Y94</f>
        <v>1</v>
      </c>
      <c r="Z93" s="176">
        <f>USD!Z94</f>
        <v>0.9</v>
      </c>
      <c r="AA93" s="176">
        <f>USD!AA94</f>
        <v>0.85</v>
      </c>
    </row>
    <row r="94" spans="15:27" ht="12.75">
      <c r="O94" s="87" t="str">
        <f>USD!O95</f>
        <v>Тюменская область (не включая г. Тюмень)</v>
      </c>
      <c r="P94" s="88">
        <f>USD!P95</f>
        <v>100</v>
      </c>
      <c r="Q94" s="88">
        <f>USD!Q95</f>
        <v>85</v>
      </c>
      <c r="R94" s="176">
        <f>USD!R95</f>
        <v>0.85</v>
      </c>
      <c r="S94" s="176">
        <f>USD!S95</f>
        <v>0.85</v>
      </c>
      <c r="T94" s="176">
        <f>USD!T95</f>
        <v>0.7</v>
      </c>
      <c r="U94" s="176">
        <f>USD!U95</f>
        <v>0.85</v>
      </c>
      <c r="V94" s="176">
        <f>USD!V95</f>
        <v>0.7</v>
      </c>
      <c r="W94" s="176">
        <f>USD!W95</f>
        <v>0.85</v>
      </c>
      <c r="X94" s="176">
        <f>USD!X95</f>
        <v>0.95</v>
      </c>
      <c r="Y94" s="176">
        <f>USD!Y95</f>
        <v>1</v>
      </c>
      <c r="Z94" s="176">
        <f>USD!Z95</f>
        <v>0.9</v>
      </c>
      <c r="AA94" s="176">
        <f>USD!AA95</f>
        <v>0.85</v>
      </c>
    </row>
    <row r="95" spans="15:27" ht="12.75">
      <c r="O95" s="87" t="str">
        <f>USD!O96</f>
        <v>г. Тюмень</v>
      </c>
      <c r="P95" s="88">
        <f>USD!P96</f>
        <v>100</v>
      </c>
      <c r="Q95" s="88">
        <f>USD!Q96</f>
        <v>85</v>
      </c>
      <c r="R95" s="176">
        <f>USD!R96</f>
        <v>0.95</v>
      </c>
      <c r="S95" s="176">
        <f>USD!S96</f>
        <v>0.95</v>
      </c>
      <c r="T95" s="176">
        <f>USD!T96</f>
        <v>0.9</v>
      </c>
      <c r="U95" s="176">
        <f>USD!U96</f>
        <v>0.95</v>
      </c>
      <c r="V95" s="176">
        <f>USD!V96</f>
        <v>0.95</v>
      </c>
      <c r="W95" s="176">
        <f>USD!W96</f>
        <v>0.95</v>
      </c>
      <c r="X95" s="176">
        <f>USD!X96</f>
        <v>0.95</v>
      </c>
      <c r="Y95" s="176">
        <f>USD!Y96</f>
        <v>1</v>
      </c>
      <c r="Z95" s="176">
        <f>USD!Z96</f>
        <v>0.9</v>
      </c>
      <c r="AA95" s="176">
        <f>USD!AA96</f>
        <v>0.85</v>
      </c>
    </row>
    <row r="96" spans="15:27" ht="12.75">
      <c r="O96" s="87" t="str">
        <f>USD!O97</f>
        <v>Ульяновская область (не включая г. Ульяновск)</v>
      </c>
      <c r="P96" s="88">
        <f>USD!P97</f>
        <v>100</v>
      </c>
      <c r="Q96" s="88">
        <f>USD!Q97</f>
        <v>85</v>
      </c>
      <c r="R96" s="176">
        <f>USD!R97</f>
        <v>0.85</v>
      </c>
      <c r="S96" s="176">
        <f>USD!S97</f>
        <v>0.85</v>
      </c>
      <c r="T96" s="176">
        <f>USD!T97</f>
        <v>0.7</v>
      </c>
      <c r="U96" s="176">
        <f>USD!U97</f>
        <v>0.85</v>
      </c>
      <c r="V96" s="176">
        <f>USD!V97</f>
        <v>0.7</v>
      </c>
      <c r="W96" s="176">
        <f>USD!W97</f>
        <v>0.85</v>
      </c>
      <c r="X96" s="176">
        <f>USD!X97</f>
        <v>0.95</v>
      </c>
      <c r="Y96" s="176">
        <f>USD!Y97</f>
        <v>1</v>
      </c>
      <c r="Z96" s="176">
        <f>USD!Z97</f>
        <v>0.9</v>
      </c>
      <c r="AA96" s="176">
        <f>USD!AA97</f>
        <v>0.85</v>
      </c>
    </row>
    <row r="97" spans="15:27" ht="12.75">
      <c r="O97" s="87" t="str">
        <f>USD!O98</f>
        <v>г. Ульяновск</v>
      </c>
      <c r="P97" s="88">
        <f>USD!P98</f>
        <v>100</v>
      </c>
      <c r="Q97" s="88">
        <f>USD!Q98</f>
        <v>85</v>
      </c>
      <c r="R97" s="176">
        <f>USD!R98</f>
        <v>0.9</v>
      </c>
      <c r="S97" s="176">
        <f>USD!S98</f>
        <v>0.85</v>
      </c>
      <c r="T97" s="176">
        <f>USD!T98</f>
        <v>0.7</v>
      </c>
      <c r="U97" s="176">
        <f>USD!U98</f>
        <v>0.85</v>
      </c>
      <c r="V97" s="176">
        <f>USD!V98</f>
        <v>0.7</v>
      </c>
      <c r="W97" s="176">
        <f>USD!W98</f>
        <v>0.9</v>
      </c>
      <c r="X97" s="176">
        <f>USD!X98</f>
        <v>0.95</v>
      </c>
      <c r="Y97" s="176">
        <f>USD!Y98</f>
        <v>1</v>
      </c>
      <c r="Z97" s="176">
        <f>USD!Z98</f>
        <v>0.9</v>
      </c>
      <c r="AA97" s="176">
        <f>USD!AA98</f>
        <v>0.85</v>
      </c>
    </row>
    <row r="98" spans="15:27" ht="12.75">
      <c r="O98" s="87" t="str">
        <f>USD!O99</f>
        <v>Хабаровский край (не включая г. Хабаровск)</v>
      </c>
      <c r="P98" s="88">
        <f>USD!P99</f>
        <v>120</v>
      </c>
      <c r="Q98" s="88">
        <f>USD!Q99</f>
        <v>100</v>
      </c>
      <c r="R98" s="176">
        <f>USD!R99</f>
        <v>0.85</v>
      </c>
      <c r="S98" s="176">
        <f>USD!S99</f>
        <v>0.85</v>
      </c>
      <c r="T98" s="176">
        <f>USD!T99</f>
        <v>0.7</v>
      </c>
      <c r="U98" s="176">
        <f>USD!U99</f>
        <v>0.85</v>
      </c>
      <c r="V98" s="176">
        <f>USD!V99</f>
        <v>0.7</v>
      </c>
      <c r="W98" s="176">
        <f>USD!W99</f>
        <v>0.85</v>
      </c>
      <c r="X98" s="176">
        <f>USD!X99</f>
        <v>0.95</v>
      </c>
      <c r="Y98" s="176">
        <f>USD!Y99</f>
        <v>1</v>
      </c>
      <c r="Z98" s="176">
        <f>USD!Z99</f>
        <v>0.9</v>
      </c>
      <c r="AA98" s="176">
        <f>USD!AA99</f>
        <v>0.85</v>
      </c>
    </row>
    <row r="99" spans="15:27" ht="12.75">
      <c r="O99" s="87" t="str">
        <f>USD!O100</f>
        <v>г. Хабаровск</v>
      </c>
      <c r="P99" s="88">
        <f>USD!P100</f>
        <v>120</v>
      </c>
      <c r="Q99" s="88">
        <f>USD!Q100</f>
        <v>100</v>
      </c>
      <c r="R99" s="176">
        <f>USD!R100</f>
        <v>0.95</v>
      </c>
      <c r="S99" s="176">
        <f>USD!S100</f>
        <v>0.95</v>
      </c>
      <c r="T99" s="176">
        <f>USD!T100</f>
        <v>0.9</v>
      </c>
      <c r="U99" s="176">
        <f>USD!U100</f>
        <v>0.95</v>
      </c>
      <c r="V99" s="176">
        <f>USD!V100</f>
        <v>0.95</v>
      </c>
      <c r="W99" s="176">
        <f>USD!W100</f>
        <v>0.95</v>
      </c>
      <c r="X99" s="176">
        <f>USD!X100</f>
        <v>0.95</v>
      </c>
      <c r="Y99" s="176">
        <f>USD!Y100</f>
        <v>1</v>
      </c>
      <c r="Z99" s="176">
        <f>USD!Z100</f>
        <v>0.9</v>
      </c>
      <c r="AA99" s="176">
        <f>USD!AA100</f>
        <v>0.85</v>
      </c>
    </row>
    <row r="100" spans="15:27" ht="12.75">
      <c r="O100" s="87" t="str">
        <f>USD!O101</f>
        <v>Челябинская область (не включая г. Челябинск)</v>
      </c>
      <c r="P100" s="88">
        <f>USD!P101</f>
        <v>100</v>
      </c>
      <c r="Q100" s="88">
        <f>USD!Q101</f>
        <v>85</v>
      </c>
      <c r="R100" s="176">
        <f>USD!R101</f>
        <v>0.85</v>
      </c>
      <c r="S100" s="176">
        <f>USD!S101</f>
        <v>0.85</v>
      </c>
      <c r="T100" s="176">
        <f>USD!T101</f>
        <v>0.7</v>
      </c>
      <c r="U100" s="176">
        <f>USD!U101</f>
        <v>0.85</v>
      </c>
      <c r="V100" s="176">
        <f>USD!V101</f>
        <v>0.7</v>
      </c>
      <c r="W100" s="176">
        <f>USD!W101</f>
        <v>0.85</v>
      </c>
      <c r="X100" s="176">
        <f>USD!X101</f>
        <v>0.95</v>
      </c>
      <c r="Y100" s="176">
        <f>USD!Y101</f>
        <v>1</v>
      </c>
      <c r="Z100" s="176">
        <f>USD!Z101</f>
        <v>0.9</v>
      </c>
      <c r="AA100" s="176">
        <f>USD!AA101</f>
        <v>0.85</v>
      </c>
    </row>
    <row r="101" spans="15:27" ht="12.75">
      <c r="O101" s="87" t="str">
        <f>USD!O102</f>
        <v>г. Челябинск</v>
      </c>
      <c r="P101" s="88">
        <f>USD!P102</f>
        <v>100</v>
      </c>
      <c r="Q101" s="88">
        <f>USD!Q102</f>
        <v>85</v>
      </c>
      <c r="R101" s="176">
        <f>USD!R102</f>
        <v>0.9</v>
      </c>
      <c r="S101" s="176">
        <f>USD!S102</f>
        <v>0.85</v>
      </c>
      <c r="T101" s="176">
        <f>USD!T102</f>
        <v>0.7</v>
      </c>
      <c r="U101" s="176">
        <f>USD!U102</f>
        <v>0.85</v>
      </c>
      <c r="V101" s="176">
        <f>USD!V102</f>
        <v>0.7</v>
      </c>
      <c r="W101" s="176">
        <f>USD!W102</f>
        <v>0.9</v>
      </c>
      <c r="X101" s="176">
        <f>USD!X102</f>
        <v>0.95</v>
      </c>
      <c r="Y101" s="176">
        <f>USD!Y102</f>
        <v>1</v>
      </c>
      <c r="Z101" s="176">
        <f>USD!Z102</f>
        <v>0.9</v>
      </c>
      <c r="AA101" s="176">
        <f>USD!AA102</f>
        <v>0.85</v>
      </c>
    </row>
    <row r="102" spans="15:27" ht="12.75">
      <c r="O102" s="87" t="str">
        <f>USD!O103</f>
        <v>Чувашская республика (включая г. Чебоксары)</v>
      </c>
      <c r="P102" s="88">
        <f>USD!P103</f>
        <v>100</v>
      </c>
      <c r="Q102" s="88">
        <f>USD!Q103</f>
        <v>85</v>
      </c>
      <c r="R102" s="176">
        <f>USD!R103</f>
        <v>0.85</v>
      </c>
      <c r="S102" s="176">
        <f>USD!S103</f>
        <v>0.85</v>
      </c>
      <c r="T102" s="176">
        <f>USD!T103</f>
        <v>0.7</v>
      </c>
      <c r="U102" s="176">
        <f>USD!U103</f>
        <v>0.85</v>
      </c>
      <c r="V102" s="176">
        <f>USD!V103</f>
        <v>0.7</v>
      </c>
      <c r="W102" s="176">
        <f>USD!W103</f>
        <v>0.85</v>
      </c>
      <c r="X102" s="176">
        <f>USD!X103</f>
        <v>0.95</v>
      </c>
      <c r="Y102" s="176">
        <f>USD!Y103</f>
        <v>1</v>
      </c>
      <c r="Z102" s="176">
        <f>USD!Z103</f>
        <v>0.9</v>
      </c>
      <c r="AA102" s="176">
        <f>USD!AA103</f>
        <v>0.85</v>
      </c>
    </row>
    <row r="103" spans="15:27" ht="12.75">
      <c r="O103" s="87" t="str">
        <f>USD!O104</f>
        <v>Ярославская область (не включая г. Ярославль)</v>
      </c>
      <c r="P103" s="88">
        <f>USD!P104</f>
        <v>100</v>
      </c>
      <c r="Q103" s="88">
        <f>USD!Q104</f>
        <v>85</v>
      </c>
      <c r="R103" s="176">
        <f>USD!R104</f>
        <v>0.85</v>
      </c>
      <c r="S103" s="176">
        <f>USD!S104</f>
        <v>0.85</v>
      </c>
      <c r="T103" s="176">
        <f>USD!T104</f>
        <v>0.7</v>
      </c>
      <c r="U103" s="176">
        <f>USD!U104</f>
        <v>0.85</v>
      </c>
      <c r="V103" s="176">
        <f>USD!V104</f>
        <v>0.7</v>
      </c>
      <c r="W103" s="176">
        <f>USD!W104</f>
        <v>0.85</v>
      </c>
      <c r="X103" s="176">
        <f>USD!X104</f>
        <v>0.95</v>
      </c>
      <c r="Y103" s="176">
        <f>USD!Y104</f>
        <v>1</v>
      </c>
      <c r="Z103" s="176">
        <f>USD!Z104</f>
        <v>0.9</v>
      </c>
      <c r="AA103" s="176">
        <f>USD!AA104</f>
        <v>0.85</v>
      </c>
    </row>
    <row r="104" spans="15:27" ht="12.75">
      <c r="O104" s="87" t="str">
        <f>USD!O105</f>
        <v>г. Ярославль</v>
      </c>
      <c r="P104" s="88">
        <f>USD!P105</f>
        <v>100</v>
      </c>
      <c r="Q104" s="88">
        <f>USD!Q105</f>
        <v>85</v>
      </c>
      <c r="R104" s="176">
        <f>USD!R105</f>
        <v>0.9</v>
      </c>
      <c r="S104" s="176">
        <f>USD!S105</f>
        <v>0.85</v>
      </c>
      <c r="T104" s="176">
        <f>USD!T105</f>
        <v>0.7</v>
      </c>
      <c r="U104" s="176">
        <f>USD!U105</f>
        <v>0.85</v>
      </c>
      <c r="V104" s="176">
        <f>USD!V105</f>
        <v>0.7</v>
      </c>
      <c r="W104" s="176">
        <f>USD!W105</f>
        <v>0.9</v>
      </c>
      <c r="X104" s="176">
        <f>USD!X105</f>
        <v>0.95</v>
      </c>
      <c r="Y104" s="176">
        <f>USD!Y105</f>
        <v>1</v>
      </c>
      <c r="Z104" s="176">
        <f>USD!Z105</f>
        <v>0.9</v>
      </c>
      <c r="AA104" s="176">
        <f>USD!AA105</f>
        <v>0.85</v>
      </c>
    </row>
  </sheetData>
  <sheetProtection password="84F1" sheet="1" objects="1" scenarios="1"/>
  <mergeCells count="11">
    <mergeCell ref="A6:B6"/>
    <mergeCell ref="E4:H4"/>
    <mergeCell ref="E5:H5"/>
    <mergeCell ref="Y25:AA25"/>
    <mergeCell ref="U25:V25"/>
    <mergeCell ref="W25:X25"/>
    <mergeCell ref="B2:H2"/>
    <mergeCell ref="I5:J5"/>
    <mergeCell ref="A4:B4"/>
    <mergeCell ref="A5:B5"/>
    <mergeCell ref="I4:J4"/>
  </mergeCells>
  <dataValidations count="4">
    <dataValidation type="whole" operator="lessThanOrEqual" allowBlank="1" showErrorMessage="1" promptTitle="ошибка " errorTitle="Ошибка ввода" error="Срок кредита не может быть более 25 лет." sqref="C4">
      <formula1>25</formula1>
    </dataValidation>
    <dataValidation operator="lessThanOrEqual" allowBlank="1" showInputMessage="1" showErrorMessage="1" sqref="B9 D11"/>
    <dataValidation type="whole" allowBlank="1" showErrorMessage="1" promptTitle="Срок строительства" prompt="Срок строительства не может быть больше 36 месяцев" errorTitle="Срок строительства" error="Срок строительства не может быть менее 1 и более 60 месяцев" sqref="C6">
      <formula1>1</formula1>
      <formula2>60</formula2>
    </dataValidation>
    <dataValidation type="list" allowBlank="1" showInputMessage="1" showErrorMessage="1" sqref="B2:H2">
      <formula1>$O$27:$O$104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104"/>
  <sheetViews>
    <sheetView workbookViewId="0" topLeftCell="A1">
      <selection activeCell="AC19" sqref="AC19"/>
    </sheetView>
  </sheetViews>
  <sheetFormatPr defaultColWidth="9.00390625" defaultRowHeight="12.75"/>
  <cols>
    <col min="1" max="1" width="32.125" style="1" customWidth="1"/>
    <col min="2" max="2" width="15.75390625" style="2" customWidth="1"/>
    <col min="3" max="3" width="5.75390625" style="2" customWidth="1"/>
    <col min="4" max="4" width="15.75390625" style="2" customWidth="1"/>
    <col min="5" max="5" width="5.75390625" style="2" customWidth="1"/>
    <col min="6" max="6" width="15.75390625" style="2" customWidth="1"/>
    <col min="7" max="7" width="5.75390625" style="2" customWidth="1"/>
    <col min="8" max="8" width="15.75390625" style="2" customWidth="1"/>
    <col min="9" max="9" width="6.875" style="2" customWidth="1"/>
    <col min="10" max="10" width="15.75390625" style="2" customWidth="1"/>
    <col min="11" max="11" width="9.125" style="2" customWidth="1"/>
    <col min="12" max="12" width="8.00390625" style="2" customWidth="1"/>
    <col min="13" max="13" width="6.625" style="2" customWidth="1"/>
    <col min="14" max="14" width="13.25390625" style="2" hidden="1" customWidth="1"/>
    <col min="15" max="15" width="16.25390625" style="2" hidden="1" customWidth="1"/>
    <col min="16" max="16" width="13.875" style="2" hidden="1" customWidth="1"/>
    <col min="17" max="17" width="11.00390625" style="2" hidden="1" customWidth="1"/>
    <col min="18" max="18" width="9.875" style="2" hidden="1" customWidth="1"/>
    <col min="19" max="19" width="11.00390625" style="2" hidden="1" customWidth="1"/>
    <col min="20" max="21" width="0" style="2" hidden="1" customWidth="1"/>
    <col min="22" max="22" width="9.875" style="2" hidden="1" customWidth="1"/>
    <col min="23" max="23" width="11.00390625" style="2" hidden="1" customWidth="1"/>
    <col min="24" max="27" width="0" style="2" hidden="1" customWidth="1"/>
    <col min="28" max="16384" width="9.125" style="2" customWidth="1"/>
  </cols>
  <sheetData>
    <row r="1" ht="13.5" thickBot="1"/>
    <row r="2" spans="1:15" ht="17.25" thickBot="1" thickTop="1">
      <c r="A2" s="31" t="s">
        <v>26</v>
      </c>
      <c r="B2" s="200" t="s">
        <v>50</v>
      </c>
      <c r="C2" s="201"/>
      <c r="D2" s="201"/>
      <c r="E2" s="201"/>
      <c r="F2" s="201"/>
      <c r="G2" s="201"/>
      <c r="H2" s="202"/>
      <c r="I2" s="34"/>
      <c r="J2" s="32">
        <f>O2</f>
        <v>120</v>
      </c>
      <c r="M2" s="15"/>
      <c r="O2" s="7">
        <f>IF(C5&gt;=USD!V114,O6,O5)</f>
        <v>120</v>
      </c>
    </row>
    <row r="3" spans="1:15" s="77" customFormat="1" ht="14.25" thickBot="1" thickTop="1">
      <c r="A3" s="76"/>
      <c r="N3" s="2"/>
      <c r="O3" s="2">
        <f>VLOOKUP(B2,O27:S104,5,FALSE)</f>
        <v>0.85</v>
      </c>
    </row>
    <row r="4" spans="1:10" ht="17.25" thickBot="1" thickTop="1">
      <c r="A4" s="194" t="s">
        <v>0</v>
      </c>
      <c r="B4" s="195"/>
      <c r="C4" s="33">
        <v>15</v>
      </c>
      <c r="D4" s="54" t="s">
        <v>1</v>
      </c>
      <c r="E4" s="213" t="s">
        <v>53</v>
      </c>
      <c r="F4" s="214"/>
      <c r="G4" s="215"/>
      <c r="H4" s="216"/>
      <c r="I4" s="205">
        <f>IF(C4&lt;=USD!O136,USD!Q136,IF(C4&lt;=USD!O137,USD!Q137,IF(C4&lt;=USD!O138,USD!Q138,IF(C4&lt;=USD!O140,USD!Q140,10))))</f>
        <v>0.135</v>
      </c>
      <c r="J4" s="193"/>
    </row>
    <row r="5" spans="1:15" ht="17.25" thickBot="1" thickTop="1">
      <c r="A5" s="203" t="s">
        <v>3</v>
      </c>
      <c r="B5" s="204"/>
      <c r="C5" s="33">
        <v>1</v>
      </c>
      <c r="D5" s="34"/>
      <c r="E5" s="213" t="s">
        <v>18</v>
      </c>
      <c r="F5" s="213"/>
      <c r="G5" s="213"/>
      <c r="H5" s="217"/>
      <c r="I5" s="205">
        <f>I4+USD!P141</f>
        <v>0.155</v>
      </c>
      <c r="J5" s="193"/>
      <c r="O5" s="7">
        <f>VLOOKUP(B2,O27:P104,2,FALSE)</f>
        <v>120</v>
      </c>
    </row>
    <row r="6" spans="1:15" ht="17.25" thickBot="1" thickTop="1">
      <c r="A6" s="203" t="s">
        <v>15</v>
      </c>
      <c r="B6" s="204"/>
      <c r="C6" s="33">
        <v>48</v>
      </c>
      <c r="D6" s="54" t="s">
        <v>16</v>
      </c>
      <c r="E6" s="196" t="s">
        <v>14</v>
      </c>
      <c r="F6" s="196"/>
      <c r="G6" s="196"/>
      <c r="H6" s="218"/>
      <c r="I6" s="211">
        <v>28.2517</v>
      </c>
      <c r="J6" s="212"/>
      <c r="N6" s="7">
        <f>O2*C5</f>
        <v>120</v>
      </c>
      <c r="O6" s="7">
        <f>VLOOKUP(B2,O27:Q104,3,FALSE)</f>
        <v>100</v>
      </c>
    </row>
    <row r="7" spans="1:15" ht="27" customHeight="1" thickTop="1">
      <c r="A7" s="35"/>
      <c r="B7" s="27" t="s">
        <v>4</v>
      </c>
      <c r="C7" s="34"/>
      <c r="D7" s="27" t="s">
        <v>5</v>
      </c>
      <c r="E7" s="34"/>
      <c r="F7" s="27" t="s">
        <v>6</v>
      </c>
      <c r="G7" s="34"/>
      <c r="H7" s="27" t="s">
        <v>7</v>
      </c>
      <c r="I7" s="34"/>
      <c r="J7" s="27" t="s">
        <v>8</v>
      </c>
      <c r="N7" s="7"/>
      <c r="O7" s="7"/>
    </row>
    <row r="8" spans="1:15" ht="9.75" customHeight="1" thickBot="1">
      <c r="A8" s="35"/>
      <c r="B8" s="56"/>
      <c r="C8" s="34"/>
      <c r="D8" s="56"/>
      <c r="E8" s="34"/>
      <c r="F8" s="56"/>
      <c r="G8" s="34"/>
      <c r="H8" s="56"/>
      <c r="I8" s="34"/>
      <c r="J8" s="34"/>
      <c r="N8" s="7"/>
      <c r="O8" s="7"/>
    </row>
    <row r="9" spans="1:15" ht="27" customHeight="1" thickBot="1" thickTop="1">
      <c r="A9" s="31" t="s">
        <v>9</v>
      </c>
      <c r="B9" s="57">
        <v>1000000</v>
      </c>
      <c r="C9" s="40"/>
      <c r="D9" s="58">
        <f>D11/O3</f>
        <v>1000000</v>
      </c>
      <c r="E9" s="40"/>
      <c r="F9" s="58">
        <f>F11/O3</f>
        <v>1024209.4117647059</v>
      </c>
      <c r="G9" s="40"/>
      <c r="H9" s="58">
        <f>H11/O3</f>
        <v>1024201.1764705883</v>
      </c>
      <c r="I9" s="40"/>
      <c r="J9" s="58">
        <f>J19/(1-O3)</f>
        <v>999999.9999999999</v>
      </c>
      <c r="N9" s="7"/>
      <c r="O9" s="7"/>
    </row>
    <row r="10" spans="1:23" s="79" customFormat="1" ht="9.75" customHeight="1" thickBot="1" thickTop="1">
      <c r="A10" s="78"/>
      <c r="B10" s="40"/>
      <c r="C10" s="40"/>
      <c r="D10" s="40"/>
      <c r="E10" s="40"/>
      <c r="F10" s="40"/>
      <c r="G10" s="40"/>
      <c r="H10" s="40"/>
      <c r="I10" s="40"/>
      <c r="J10" s="40"/>
      <c r="N10" s="7"/>
      <c r="O10" s="7"/>
      <c r="P10" s="2"/>
      <c r="Q10" s="2"/>
      <c r="R10" s="2"/>
      <c r="S10" s="2"/>
      <c r="T10" s="2"/>
      <c r="U10" s="2"/>
      <c r="V10" s="2"/>
      <c r="W10" s="2"/>
    </row>
    <row r="11" spans="1:23" s="10" customFormat="1" ht="27" customHeight="1" thickBot="1" thickTop="1">
      <c r="A11" s="31" t="s">
        <v>10</v>
      </c>
      <c r="B11" s="60">
        <f>B9*O3</f>
        <v>850000</v>
      </c>
      <c r="C11" s="8"/>
      <c r="D11" s="61">
        <v>850000</v>
      </c>
      <c r="E11" s="9"/>
      <c r="F11" s="60">
        <f>ROUND(F13/(($I$5/12)/(1-(1+($I$5/12))^-($C$4*12))),0)</f>
        <v>870578</v>
      </c>
      <c r="G11" s="9"/>
      <c r="H11" s="60">
        <f>ROUND(H13/(($I$5/12)/(1-(1+($I$5/12))^-($C$4*12))),0)</f>
        <v>870571</v>
      </c>
      <c r="I11" s="9"/>
      <c r="J11" s="60">
        <f>J9-J19</f>
        <v>849999.9999999999</v>
      </c>
      <c r="N11" s="81">
        <f>(B13+$N$6*$I$6)/USD!$Q$123</f>
        <v>23968.006153846152</v>
      </c>
      <c r="O11" s="81">
        <f>B13/USD!$P$123</f>
        <v>27086.666666666664</v>
      </c>
      <c r="P11" s="81">
        <f>(D13+$N$6*$I$6)/USD!$Q$123</f>
        <v>23968.006153846152</v>
      </c>
      <c r="Q11" s="81">
        <f>D13/USD!$P$123</f>
        <v>27086.666666666664</v>
      </c>
      <c r="R11" s="81">
        <f>(F13+$N$6*$I$6)/USD!$Q$123</f>
        <v>24421.852307692305</v>
      </c>
      <c r="S11" s="81">
        <f>F13/USD!$P$123</f>
        <v>27742.222222222223</v>
      </c>
      <c r="T11" s="2"/>
      <c r="U11" s="2"/>
      <c r="V11" s="81">
        <f>(J13+$N$6*$I$6)/USD!$Q$123</f>
        <v>23968.006153846152</v>
      </c>
      <c r="W11" s="81">
        <f>J13/USD!$P$123</f>
        <v>27086.666666666664</v>
      </c>
    </row>
    <row r="12" spans="1:23" s="79" customFormat="1" ht="9.75" customHeight="1" thickBot="1" thickTop="1">
      <c r="A12" s="82"/>
      <c r="B12" s="9"/>
      <c r="C12" s="9"/>
      <c r="D12" s="9"/>
      <c r="E12" s="40"/>
      <c r="F12" s="9"/>
      <c r="G12" s="40"/>
      <c r="H12" s="9"/>
      <c r="I12" s="40"/>
      <c r="J12" s="9"/>
      <c r="L12" s="83"/>
      <c r="M12" s="84"/>
      <c r="N12" s="80"/>
      <c r="O12" s="81">
        <f>USD!$O$123+0.01</f>
        <v>30000.01</v>
      </c>
      <c r="P12" s="80"/>
      <c r="Q12" s="81">
        <f>USD!$O$123+0.01</f>
        <v>30000.01</v>
      </c>
      <c r="R12" s="80"/>
      <c r="S12" s="81">
        <f>USD!$O$123+0.01</f>
        <v>30000.01</v>
      </c>
      <c r="V12" s="80"/>
      <c r="W12" s="81">
        <f>USD!$O$123+0.01</f>
        <v>30000.01</v>
      </c>
    </row>
    <row r="13" spans="1:23" s="14" customFormat="1" ht="27" customHeight="1" thickBot="1" thickTop="1">
      <c r="A13" s="37" t="s">
        <v>11</v>
      </c>
      <c r="B13" s="63">
        <f>ROUND(B11*(($I$5/12)/(1-(1+($I$5/12))^-($C$4*12))),0)</f>
        <v>12189</v>
      </c>
      <c r="C13" s="23"/>
      <c r="D13" s="63">
        <f>ROUND(D11*(($I$5/12)/(1-(1+($I$5/12))^-($C$4*12))),0)</f>
        <v>12189</v>
      </c>
      <c r="E13" s="47"/>
      <c r="F13" s="64">
        <v>12484</v>
      </c>
      <c r="G13" s="47"/>
      <c r="H13" s="63">
        <f>IF(H17=0,0,IF(H17&lt;=USD!O123,MIN(H17*USD!Q123-N6*I6,H17*USD!P123),IF(H17&lt;=USD!O124,MIN(H17*USD!Q124-N6*I6,H17*USD!P124),IF(H17&lt;=USD!O125,MIN(H17*USD!Q125-N6*I6,H17*USD!P125),IF(H17&lt;=USD!O126,MIN(H17*USD!Q126-N6*I6,H17*USD!P126),IF(H17&lt;=USD!O127,MIN(H17*USD!Q127-N6*I6,H17*USD!P127),IF(H17&lt;=USD!O128,MIN(H17*USD!Q128-N6*I6,H17*USD!P128),MIN(H17*USD!Q129-N6*I6,H17*USD!P129))))))))</f>
        <v>12483.9</v>
      </c>
      <c r="I13" s="47"/>
      <c r="J13" s="63">
        <f>ROUND(J11*(($I$5/12)/(1-(1+($I$5/12))^-($C$4*12))),0)</f>
        <v>12189</v>
      </c>
      <c r="N13" s="81">
        <f>(B13+$N$6*$I$6)/USD!$Q$124</f>
        <v>22256.005714285715</v>
      </c>
      <c r="O13" s="81">
        <f>B13/USD!$P$124</f>
        <v>24378</v>
      </c>
      <c r="P13" s="81">
        <f>(D13+$N$6*$I$6)/USD!$Q$124</f>
        <v>22256.005714285715</v>
      </c>
      <c r="Q13" s="81">
        <f>D13/USD!$P$124</f>
        <v>24378</v>
      </c>
      <c r="R13" s="81">
        <f>(F13+$N$6*$I$6)/USD!$Q$124</f>
        <v>22677.434285714287</v>
      </c>
      <c r="S13" s="81">
        <f>F13/USD!$P$124</f>
        <v>24968</v>
      </c>
      <c r="T13" s="10"/>
      <c r="U13" s="10"/>
      <c r="V13" s="81">
        <f>(J13+$N$6*$I$6)/USD!$Q$124</f>
        <v>22256.005714285715</v>
      </c>
      <c r="W13" s="81">
        <f>J13/USD!$P$124</f>
        <v>24378</v>
      </c>
    </row>
    <row r="14" spans="1:23" s="79" customFormat="1" ht="9.75" customHeight="1" thickTop="1">
      <c r="A14" s="78"/>
      <c r="B14" s="40"/>
      <c r="C14" s="40"/>
      <c r="D14" s="40"/>
      <c r="E14" s="40"/>
      <c r="F14" s="40"/>
      <c r="G14" s="40"/>
      <c r="H14" s="40"/>
      <c r="I14" s="40"/>
      <c r="J14" s="40"/>
      <c r="N14" s="81"/>
      <c r="O14" s="81">
        <f>USD!$O$124+0.01</f>
        <v>60000.01</v>
      </c>
      <c r="P14" s="81"/>
      <c r="Q14" s="81">
        <f>USD!$O$124+0.01</f>
        <v>60000.01</v>
      </c>
      <c r="R14" s="81"/>
      <c r="S14" s="81">
        <f>USD!$O$124+0.01</f>
        <v>60000.01</v>
      </c>
      <c r="V14" s="81"/>
      <c r="W14" s="81">
        <f>USD!$O$124+0.01</f>
        <v>60000.01</v>
      </c>
    </row>
    <row r="15" spans="1:23" ht="27" customHeight="1">
      <c r="A15" s="38" t="s">
        <v>19</v>
      </c>
      <c r="B15" s="63">
        <f>B21*(($I$4/12)/(1-(1+($I$4/12))^-($C$4*12-$C$6)))</f>
        <v>11262.223574452419</v>
      </c>
      <c r="C15" s="23"/>
      <c r="D15" s="63">
        <f>D21*(($I$4/12)/(1-(1+($I$4/12))^-($C$4*12-$C$6)))</f>
        <v>11262.223574452419</v>
      </c>
      <c r="E15" s="40"/>
      <c r="F15" s="63">
        <f>F21*(($I$4/12)/(1-(1+($I$4/12))^-($C$4*12-$C$6)))</f>
        <v>11534.95810978092</v>
      </c>
      <c r="G15" s="47"/>
      <c r="H15" s="63">
        <f>H21*(($I$4/12)/(1-(1+($I$4/12))^-($C$4*12-$C$6)))</f>
        <v>11534.865006923805</v>
      </c>
      <c r="I15" s="47"/>
      <c r="J15" s="63">
        <f>J21*(($I$4/12)/(1-(1+($I$4/12))^-($C$4*12-$C$6)))</f>
        <v>11262.223574452415</v>
      </c>
      <c r="N15" s="81">
        <f>(B13+$N$6*$I$6)/USD!$Q$125</f>
        <v>20772.272</v>
      </c>
      <c r="O15" s="81">
        <f>B13/USD!$P$125</f>
        <v>22161.81818181818</v>
      </c>
      <c r="P15" s="81">
        <f>(D13+$N$6*$I$6)/USD!$Q$125</f>
        <v>20772.272</v>
      </c>
      <c r="Q15" s="81">
        <f>D13/USD!$P$125</f>
        <v>22161.81818181818</v>
      </c>
      <c r="R15" s="81">
        <f>(F13+$N$6*$I$6)/USD!$Q$125</f>
        <v>21165.605333333333</v>
      </c>
      <c r="S15" s="81">
        <f>F13/USD!$P$125</f>
        <v>22698.181818181816</v>
      </c>
      <c r="T15" s="14"/>
      <c r="U15" s="14"/>
      <c r="V15" s="81">
        <f>(J13+$N$6*$I$6)/USD!$Q$125</f>
        <v>20772.272</v>
      </c>
      <c r="W15" s="81">
        <f>J13/USD!$P$125</f>
        <v>22161.81818181818</v>
      </c>
    </row>
    <row r="16" spans="1:23" s="79" customFormat="1" ht="9.75" customHeight="1" thickBot="1">
      <c r="A16" s="78"/>
      <c r="B16" s="40"/>
      <c r="C16" s="40"/>
      <c r="D16" s="40"/>
      <c r="E16" s="40"/>
      <c r="F16" s="40"/>
      <c r="G16" s="40"/>
      <c r="H16" s="40"/>
      <c r="I16" s="40"/>
      <c r="J16" s="40"/>
      <c r="N16" s="81"/>
      <c r="O16" s="81">
        <f>USD!$O$125+0.01</f>
        <v>90000.01</v>
      </c>
      <c r="P16" s="81"/>
      <c r="Q16" s="81">
        <f>USD!$O$125+0.01</f>
        <v>90000.01</v>
      </c>
      <c r="R16" s="81"/>
      <c r="S16" s="81">
        <f>USD!$O$125+0.01</f>
        <v>90000.01</v>
      </c>
      <c r="V16" s="81"/>
      <c r="W16" s="81">
        <f>USD!$O$125+0.01</f>
        <v>90000.01</v>
      </c>
    </row>
    <row r="17" spans="1:23" ht="27" customHeight="1" thickBot="1" thickTop="1">
      <c r="A17" s="38" t="s">
        <v>12</v>
      </c>
      <c r="B17" s="65">
        <f>IF(B9=0,0,IF(MAX(N11:O11)&lt;=USD!$O$123,MAX(N11:O11),IF(MAX(N13:O13)&lt;=USD!$O$124,MAX(N12:O13),IF(MAX(N15:O15)&lt;=USD!$O$125,MAX(N14:O15),IF(MAX(N17:O17)&lt;=USD!$O$126,MAX(N16:O17),IF(MAX(N19:O19)&lt;=USD!$O$127,MAX(N18:O19),IF(MAX(N21:O21)&lt;=USD!$O$128,MAX(N20:O21),MAX(N22:O23))))))))</f>
        <v>27086.666666666664</v>
      </c>
      <c r="C17" s="50"/>
      <c r="D17" s="65">
        <f>IF(D9=0,0,IF(MAX(P11:Q11)&lt;=USD!$O$123,MAX(P11:Q11),IF(MAX(P13:Q13)&lt;=USD!$O$124,MAX(P12:Q13),IF(MAX(P15:Q15)&lt;=USD!$O$125,MAX(P14:Q15),IF(MAX(P17:Q17)&lt;=USD!$O$126,MAX(P16:Q17),IF(MAX(P19:Q19)&lt;=USD!$O$127,MAX(P18:Q19),IF(MAX(P21:Q21)&lt;=USD!$O$128,MAX(P20:Q21),MAX(P22:Q23))))))))</f>
        <v>27086.666666666664</v>
      </c>
      <c r="E17" s="40"/>
      <c r="F17" s="65">
        <f>IF(F9=0,0,IF(MAX(R11:S11)&lt;=USD!$O$123,MAX(R11:S11),IF(MAX(R13:S13)&lt;=USD!$O$124,MAX(R12:S13),IF(MAX(R15:S15)&lt;=USD!$O$125,MAX(R14:S15),IF(MAX(R17:S17)&lt;=USD!$O$126,MAX(R16:S17),IF(MAX(R19:S19)&lt;=USD!$O$127,MAX(R18:S19),IF(MAX(R21:S21)&lt;=USD!$O$128,MAX(R20:S21),MAX(R22:S23))))))))</f>
        <v>27742.222222222223</v>
      </c>
      <c r="G17" s="40"/>
      <c r="H17" s="66">
        <v>27742</v>
      </c>
      <c r="I17" s="40"/>
      <c r="J17" s="65">
        <f>IF(J9=0,0,IF(MAX(V11:W11)&lt;=USD!$O$123,MAX(V11:W11),IF(MAX(V13:W13)&lt;=USD!$O$124,MAX(V12:W13),IF(MAX(V15:W15)&lt;=USD!$O$125,MAX(V14:W15),IF(MAX(V17:W17)&lt;=USD!$O$126,MAX(V16:W17),IF(MAX(V19:W19)&lt;=USD!$O$127,MAX(V18:W19),IF(MAX(V21:W21)&lt;=USD!$O$128,MAX(V20:W21),MAX(V22:W23))))))))</f>
        <v>27086.666666666664</v>
      </c>
      <c r="L17" s="13"/>
      <c r="N17" s="81">
        <f>(B13+$N$6*$I$6)/USD!$Q$126</f>
        <v>19474.004999999997</v>
      </c>
      <c r="O17" s="81">
        <f>B13/USD!$P$126</f>
        <v>20315</v>
      </c>
      <c r="P17" s="81">
        <f>(D13+$N$6*$I$6)/USD!$Q$126</f>
        <v>19474.004999999997</v>
      </c>
      <c r="Q17" s="81">
        <f>D13/USD!$P$126</f>
        <v>20315</v>
      </c>
      <c r="R17" s="81">
        <f>(F13+$N$6*$I$6)/USD!$Q$126</f>
        <v>19842.754999999997</v>
      </c>
      <c r="S17" s="81">
        <f>F13/USD!$P$126</f>
        <v>20806.666666666668</v>
      </c>
      <c r="V17" s="81">
        <f>(J13+$N$6*$I$6)/USD!$Q$126</f>
        <v>19474.004999999997</v>
      </c>
      <c r="W17" s="81">
        <f>J13/USD!$P$126</f>
        <v>20315</v>
      </c>
    </row>
    <row r="18" spans="1:23" s="79" customFormat="1" ht="9.75" customHeight="1" thickBot="1" thickTop="1">
      <c r="A18" s="78"/>
      <c r="B18" s="26"/>
      <c r="C18" s="40"/>
      <c r="D18" s="40"/>
      <c r="E18" s="40"/>
      <c r="F18" s="40"/>
      <c r="G18" s="40"/>
      <c r="H18" s="40"/>
      <c r="I18" s="40"/>
      <c r="J18" s="40"/>
      <c r="O18" s="81">
        <f>USD!$O$126+0.01</f>
        <v>180000.01</v>
      </c>
      <c r="Q18" s="81">
        <f>USD!$O$126+0.01</f>
        <v>180000.01</v>
      </c>
      <c r="S18" s="81">
        <f>USD!$O$126+0.01</f>
        <v>180000.01</v>
      </c>
      <c r="W18" s="81">
        <f>USD!$O$126+0.01</f>
        <v>180000.01</v>
      </c>
    </row>
    <row r="19" spans="1:23" ht="27" customHeight="1" thickBot="1" thickTop="1">
      <c r="A19" s="31" t="s">
        <v>13</v>
      </c>
      <c r="B19" s="67">
        <f>B9-B11</f>
        <v>150000</v>
      </c>
      <c r="C19" s="40"/>
      <c r="D19" s="67">
        <f>D9-D11</f>
        <v>150000</v>
      </c>
      <c r="E19" s="40"/>
      <c r="F19" s="67">
        <f>F9-F11</f>
        <v>153631.4117647059</v>
      </c>
      <c r="G19" s="40"/>
      <c r="H19" s="67">
        <f>H9-H11</f>
        <v>153630.1764705883</v>
      </c>
      <c r="I19" s="40"/>
      <c r="J19" s="68">
        <v>150000</v>
      </c>
      <c r="N19" s="81">
        <f>(B13+$N$6*$I$6)/USD!$Q$127</f>
        <v>18328.47529411765</v>
      </c>
      <c r="O19" s="81">
        <f>B13/USD!$P$127</f>
        <v>18752.30769230769</v>
      </c>
      <c r="P19" s="81">
        <f>(D13+$N$6*$I$6)/USD!$Q$127</f>
        <v>18328.47529411765</v>
      </c>
      <c r="Q19" s="81">
        <f>D13/USD!$P$127</f>
        <v>18752.30769230769</v>
      </c>
      <c r="R19" s="81">
        <f>(F13+$N$6*$I$6)/USD!$Q$127</f>
        <v>18675.534117647057</v>
      </c>
      <c r="S19" s="81">
        <f>F13/USD!$P$127</f>
        <v>19206.153846153844</v>
      </c>
      <c r="V19" s="81">
        <f>(J13+$N$6*$I$6)/USD!$Q$127</f>
        <v>18328.47529411765</v>
      </c>
      <c r="W19" s="81">
        <f>J13/USD!$P$127</f>
        <v>18752.30769230769</v>
      </c>
    </row>
    <row r="20" spans="1:23" s="79" customFormat="1" ht="9.75" customHeight="1" thickTop="1">
      <c r="A20" s="86"/>
      <c r="B20" s="71"/>
      <c r="C20" s="40"/>
      <c r="D20" s="71"/>
      <c r="E20" s="40"/>
      <c r="F20" s="71"/>
      <c r="G20" s="40"/>
      <c r="H20" s="71"/>
      <c r="I20" s="40"/>
      <c r="J20" s="72"/>
      <c r="O20" s="81">
        <f>USD!$O$127+0.01</f>
        <v>270000.01</v>
      </c>
      <c r="Q20" s="81">
        <f>USD!$O$127+0.01</f>
        <v>270000.01</v>
      </c>
      <c r="S20" s="81">
        <f>USD!$O$127+0.01</f>
        <v>270000.01</v>
      </c>
      <c r="W20" s="81">
        <f>USD!$O$127+0.01</f>
        <v>270000.01</v>
      </c>
    </row>
    <row r="21" spans="1:23" ht="27" customHeight="1">
      <c r="A21" s="38" t="s">
        <v>20</v>
      </c>
      <c r="B21" s="90">
        <f>(B11/POWER(1+$I$5/12,-($C$6-1)))-(B13*(POWER(1+$I$5/12,$C$6-1)-1)/($I$5/12))</f>
        <v>772450.3089728982</v>
      </c>
      <c r="C21" s="26"/>
      <c r="D21" s="90">
        <f>(D11/POWER(1+$I$5/12,-($C$6-1)))-(D13*(POWER(1+$I$5/12,$C$6-1)-1)/($I$5/12))</f>
        <v>772450.3089728982</v>
      </c>
      <c r="E21" s="26"/>
      <c r="F21" s="90">
        <f>(F11/POWER(1+$I$5/12,-($C$6-1)))-(F13*(POWER(1+$I$5/12,$C$6-1)-1)/($I$5/12))</f>
        <v>791156.5506568211</v>
      </c>
      <c r="G21" s="26"/>
      <c r="H21" s="90">
        <f>(H11/POWER(1+$I$5/12,-($C$6-1)))-(H13*(POWER(1+$I$5/12,$C$6-1)-1)/($I$5/12))</f>
        <v>791150.164943532</v>
      </c>
      <c r="I21" s="26"/>
      <c r="J21" s="90">
        <f>(J11/POWER(1+$I$5/12,-($C$6-1)))-(J13*(POWER(1+$I$5/12,$C$6-1)-1)/($I$5/12))</f>
        <v>772450.3089728979</v>
      </c>
      <c r="N21" s="81">
        <f>(B13+$N$6*$I$6)/USD!$Q$128</f>
        <v>17310.226666666666</v>
      </c>
      <c r="O21" s="81">
        <f>B13/USD!$P$128</f>
        <v>17412.857142857145</v>
      </c>
      <c r="P21" s="81">
        <f>(D13+$N$6*$I$6)/USD!$Q$128</f>
        <v>17310.226666666666</v>
      </c>
      <c r="Q21" s="81">
        <f>D13/USD!$P$128</f>
        <v>17412.857142857145</v>
      </c>
      <c r="R21" s="81">
        <f>(F13+$N$6*$I$6)/USD!$Q$128</f>
        <v>17638.004444444443</v>
      </c>
      <c r="S21" s="81">
        <f>F13/USD!$P$128</f>
        <v>17834.285714285714</v>
      </c>
      <c r="V21" s="81">
        <f>(J13+$N$6*$I$6)/USD!$Q$128</f>
        <v>17310.226666666666</v>
      </c>
      <c r="W21" s="81">
        <f>J13/USD!$P$128</f>
        <v>17412.857142857145</v>
      </c>
    </row>
    <row r="22" spans="14:23" ht="12.75">
      <c r="N22" s="79"/>
      <c r="O22" s="81">
        <f>USD!$O$128+0.01</f>
        <v>360000.01</v>
      </c>
      <c r="P22" s="79"/>
      <c r="Q22" s="81">
        <f>USD!$O$128+0.01</f>
        <v>360000.01</v>
      </c>
      <c r="R22" s="79"/>
      <c r="S22" s="81">
        <f>USD!$O$128+0.01</f>
        <v>360000.01</v>
      </c>
      <c r="T22" s="79"/>
      <c r="U22" s="79"/>
      <c r="V22" s="79"/>
      <c r="W22" s="81">
        <f>USD!$O$128+0.01</f>
        <v>360000.01</v>
      </c>
    </row>
    <row r="23" spans="14:23" ht="12.75">
      <c r="N23" s="81">
        <f>(B13+$N$6*$I$6)/USD!$Q$129</f>
        <v>16399.16210526316</v>
      </c>
      <c r="O23" s="81">
        <f>B13/USD!$P$129</f>
        <v>16252</v>
      </c>
      <c r="P23" s="81">
        <f>(D13+$N$6*$I$6)/USD!$Q$129</f>
        <v>16399.16210526316</v>
      </c>
      <c r="Q23" s="81">
        <f>D13/USD!$P$129</f>
        <v>16252</v>
      </c>
      <c r="R23" s="81">
        <f>(F13+$N$6*$I$6)/USD!$Q$129</f>
        <v>16709.688421052633</v>
      </c>
      <c r="S23" s="81">
        <f>F13/USD!$P$129</f>
        <v>16645.333333333332</v>
      </c>
      <c r="V23" s="81">
        <f>(J13+$N$6*$I$6)/USD!$Q$129</f>
        <v>16399.16210526316</v>
      </c>
      <c r="W23" s="81">
        <f>J13/USD!$P$129</f>
        <v>16252</v>
      </c>
    </row>
    <row r="24" spans="14:23" ht="12.75">
      <c r="N24" s="81"/>
      <c r="O24" s="81"/>
      <c r="P24" s="81"/>
      <c r="Q24" s="81"/>
      <c r="R24" s="81"/>
      <c r="S24" s="81"/>
      <c r="V24" s="81"/>
      <c r="W24" s="81"/>
    </row>
    <row r="25" spans="14:27" ht="12.75">
      <c r="N25" s="79"/>
      <c r="O25" s="24"/>
      <c r="P25" s="25"/>
      <c r="Q25" s="30"/>
      <c r="R25" s="175" t="str">
        <f>USD!R26</f>
        <v>Готовое</v>
      </c>
      <c r="S25" s="175" t="str">
        <f>USD!S26</f>
        <v>Стройка</v>
      </c>
      <c r="T25" s="175" t="str">
        <f>USD!T26</f>
        <v>Нецелевой</v>
      </c>
      <c r="U25" s="199" t="str">
        <f>USD!U26</f>
        <v>Рефинансирование</v>
      </c>
      <c r="V25" s="199"/>
      <c r="W25" s="199" t="str">
        <f>USD!W26</f>
        <v>Сотрудники</v>
      </c>
      <c r="X25" s="199"/>
      <c r="Y25" s="199" t="str">
        <f>USD!Y26</f>
        <v>УЖУ</v>
      </c>
      <c r="Z25" s="199"/>
      <c r="AA25" s="199"/>
    </row>
    <row r="26" spans="15:27" ht="12.75">
      <c r="O26" s="24"/>
      <c r="P26" s="25"/>
      <c r="Q26" s="30"/>
      <c r="R26" s="175"/>
      <c r="S26" s="175"/>
      <c r="T26" s="175"/>
      <c r="U26" s="175" t="str">
        <f>USD!U27</f>
        <v>Готовое</v>
      </c>
      <c r="V26" s="175" t="str">
        <f>USD!V27</f>
        <v>Нецелевой</v>
      </c>
      <c r="W26" s="175" t="str">
        <f>USD!W27</f>
        <v>Готовое</v>
      </c>
      <c r="X26" s="175" t="str">
        <f>USD!X27</f>
        <v>Стройка</v>
      </c>
      <c r="Y26" s="175" t="str">
        <f>USD!Y27</f>
        <v>Собств.</v>
      </c>
      <c r="Z26" s="175" t="str">
        <f>USD!Z27</f>
        <v>Собств.+Покуп.</v>
      </c>
      <c r="AA26" s="175" t="str">
        <f>USD!AA27</f>
        <v>Не продается</v>
      </c>
    </row>
    <row r="27" spans="14:27" ht="12.75">
      <c r="N27" s="79"/>
      <c r="O27" s="87" t="str">
        <f>USD!O28</f>
        <v>Остальные регионы</v>
      </c>
      <c r="P27" s="88">
        <f>USD!P28</f>
        <v>100</v>
      </c>
      <c r="Q27" s="88">
        <f>USD!Q28</f>
        <v>85</v>
      </c>
      <c r="R27" s="176">
        <f>USD!R28</f>
        <v>0.85</v>
      </c>
      <c r="S27" s="176">
        <f>USD!S28</f>
        <v>0.85</v>
      </c>
      <c r="T27" s="176">
        <f>USD!T28</f>
        <v>0.7</v>
      </c>
      <c r="U27" s="176">
        <f>USD!U28</f>
        <v>0.85</v>
      </c>
      <c r="V27" s="176">
        <f>USD!V28</f>
        <v>0.7</v>
      </c>
      <c r="W27" s="176">
        <f>USD!W28</f>
        <v>0.85</v>
      </c>
      <c r="X27" s="176">
        <f>USD!X28</f>
        <v>0.95</v>
      </c>
      <c r="Y27" s="176">
        <f>USD!Y28</f>
        <v>1</v>
      </c>
      <c r="Z27" s="176">
        <f>USD!Z28</f>
        <v>0.9</v>
      </c>
      <c r="AA27" s="176">
        <f>USD!AA28</f>
        <v>0.85</v>
      </c>
    </row>
    <row r="28" spans="15:27" ht="12.75">
      <c r="O28" s="87" t="str">
        <f>USD!O29</f>
        <v>Архангельская область (не включая г. Архангельск)</v>
      </c>
      <c r="P28" s="88">
        <f>USD!P29</f>
        <v>100</v>
      </c>
      <c r="Q28" s="88">
        <f>USD!Q29</f>
        <v>85</v>
      </c>
      <c r="R28" s="176">
        <f>USD!R29</f>
        <v>0.85</v>
      </c>
      <c r="S28" s="176">
        <f>USD!S29</f>
        <v>0.85</v>
      </c>
      <c r="T28" s="176">
        <f>USD!T29</f>
        <v>0.7</v>
      </c>
      <c r="U28" s="176">
        <f>USD!U29</f>
        <v>0.85</v>
      </c>
      <c r="V28" s="176">
        <f>USD!V29</f>
        <v>0.7</v>
      </c>
      <c r="W28" s="176">
        <f>USD!W29</f>
        <v>0.85</v>
      </c>
      <c r="X28" s="176">
        <f>USD!X29</f>
        <v>0.95</v>
      </c>
      <c r="Y28" s="176">
        <f>USD!Y29</f>
        <v>1</v>
      </c>
      <c r="Z28" s="176">
        <f>USD!Z29</f>
        <v>0.9</v>
      </c>
      <c r="AA28" s="176">
        <f>USD!AA29</f>
        <v>0.85</v>
      </c>
    </row>
    <row r="29" spans="14:27" ht="12.75">
      <c r="N29" s="79"/>
      <c r="O29" s="87" t="str">
        <f>USD!O30</f>
        <v>г. Архангельск</v>
      </c>
      <c r="P29" s="88">
        <f>USD!P30</f>
        <v>100</v>
      </c>
      <c r="Q29" s="88">
        <f>USD!Q30</f>
        <v>85</v>
      </c>
      <c r="R29" s="176">
        <f>USD!R30</f>
        <v>0.9</v>
      </c>
      <c r="S29" s="176">
        <f>USD!S30</f>
        <v>0.85</v>
      </c>
      <c r="T29" s="176">
        <f>USD!T30</f>
        <v>0.7</v>
      </c>
      <c r="U29" s="176">
        <f>USD!U30</f>
        <v>0.85</v>
      </c>
      <c r="V29" s="176">
        <f>USD!V30</f>
        <v>0.7</v>
      </c>
      <c r="W29" s="176">
        <f>USD!W30</f>
        <v>0.9</v>
      </c>
      <c r="X29" s="176">
        <f>USD!X30</f>
        <v>0.95</v>
      </c>
      <c r="Y29" s="176">
        <f>USD!Y30</f>
        <v>1</v>
      </c>
      <c r="Z29" s="176">
        <f>USD!Z30</f>
        <v>0.9</v>
      </c>
      <c r="AA29" s="176">
        <f>USD!AA30</f>
        <v>0.85</v>
      </c>
    </row>
    <row r="30" spans="15:27" ht="12.75">
      <c r="O30" s="87" t="str">
        <f>USD!O31</f>
        <v>Астраханская область (не включая г. Астрахань)</v>
      </c>
      <c r="P30" s="88">
        <f>USD!P31</f>
        <v>100</v>
      </c>
      <c r="Q30" s="88">
        <f>USD!Q31</f>
        <v>85</v>
      </c>
      <c r="R30" s="176">
        <f>USD!R31</f>
        <v>0.85</v>
      </c>
      <c r="S30" s="176">
        <f>USD!S31</f>
        <v>0.85</v>
      </c>
      <c r="T30" s="176">
        <f>USD!T31</f>
        <v>0.7</v>
      </c>
      <c r="U30" s="176">
        <f>USD!U31</f>
        <v>0.85</v>
      </c>
      <c r="V30" s="176">
        <f>USD!V31</f>
        <v>0.7</v>
      </c>
      <c r="W30" s="176">
        <f>USD!W31</f>
        <v>0.85</v>
      </c>
      <c r="X30" s="176">
        <f>USD!X31</f>
        <v>0.95</v>
      </c>
      <c r="Y30" s="176">
        <f>USD!Y31</f>
        <v>1</v>
      </c>
      <c r="Z30" s="176">
        <f>USD!Z31</f>
        <v>0.9</v>
      </c>
      <c r="AA30" s="176">
        <f>USD!AA31</f>
        <v>0.85</v>
      </c>
    </row>
    <row r="31" spans="15:27" ht="12.75">
      <c r="O31" s="87" t="str">
        <f>USD!O32</f>
        <v>г. Астрахань</v>
      </c>
      <c r="P31" s="88">
        <f>USD!P32</f>
        <v>100</v>
      </c>
      <c r="Q31" s="88">
        <f>USD!Q32</f>
        <v>85</v>
      </c>
      <c r="R31" s="176">
        <f>USD!R32</f>
        <v>0.9</v>
      </c>
      <c r="S31" s="176">
        <f>USD!S32</f>
        <v>0.85</v>
      </c>
      <c r="T31" s="176">
        <f>USD!T32</f>
        <v>0.7</v>
      </c>
      <c r="U31" s="176">
        <f>USD!U32</f>
        <v>0.85</v>
      </c>
      <c r="V31" s="176">
        <f>USD!V32</f>
        <v>0.7</v>
      </c>
      <c r="W31" s="176">
        <f>USD!W32</f>
        <v>0.9</v>
      </c>
      <c r="X31" s="176">
        <f>USD!X32</f>
        <v>0.95</v>
      </c>
      <c r="Y31" s="176">
        <f>USD!Y32</f>
        <v>1</v>
      </c>
      <c r="Z31" s="176">
        <f>USD!Z32</f>
        <v>0.9</v>
      </c>
      <c r="AA31" s="176">
        <f>USD!AA32</f>
        <v>0.85</v>
      </c>
    </row>
    <row r="32" spans="15:27" ht="12.75">
      <c r="O32" s="87" t="str">
        <f>USD!O33</f>
        <v>Алтайский край (не включая г. Барнаул)</v>
      </c>
      <c r="P32" s="88">
        <f>USD!P33</f>
        <v>100</v>
      </c>
      <c r="Q32" s="88">
        <f>USD!Q33</f>
        <v>85</v>
      </c>
      <c r="R32" s="176">
        <f>USD!R33</f>
        <v>0.85</v>
      </c>
      <c r="S32" s="176">
        <f>USD!S33</f>
        <v>0.85</v>
      </c>
      <c r="T32" s="176">
        <f>USD!T33</f>
        <v>0.7</v>
      </c>
      <c r="U32" s="176">
        <f>USD!U33</f>
        <v>0.85</v>
      </c>
      <c r="V32" s="176">
        <f>USD!V33</f>
        <v>0.7</v>
      </c>
      <c r="W32" s="176">
        <f>USD!W33</f>
        <v>0.85</v>
      </c>
      <c r="X32" s="176">
        <f>USD!X33</f>
        <v>0.95</v>
      </c>
      <c r="Y32" s="176">
        <f>USD!Y33</f>
        <v>1</v>
      </c>
      <c r="Z32" s="176">
        <f>USD!Z33</f>
        <v>0.9</v>
      </c>
      <c r="AA32" s="176">
        <f>USD!AA33</f>
        <v>0.85</v>
      </c>
    </row>
    <row r="33" spans="15:27" ht="12.75">
      <c r="O33" s="87" t="str">
        <f>USD!O34</f>
        <v>г. Барнаул</v>
      </c>
      <c r="P33" s="88">
        <f>USD!P34</f>
        <v>100</v>
      </c>
      <c r="Q33" s="88">
        <f>USD!Q34</f>
        <v>85</v>
      </c>
      <c r="R33" s="176">
        <f>USD!R34</f>
        <v>0.9</v>
      </c>
      <c r="S33" s="176">
        <f>USD!S34</f>
        <v>0.85</v>
      </c>
      <c r="T33" s="176">
        <f>USD!T34</f>
        <v>0.7</v>
      </c>
      <c r="U33" s="176">
        <f>USD!U34</f>
        <v>0.85</v>
      </c>
      <c r="V33" s="176">
        <f>USD!V34</f>
        <v>0.7</v>
      </c>
      <c r="W33" s="176">
        <f>USD!W34</f>
        <v>0.9</v>
      </c>
      <c r="X33" s="176">
        <f>USD!X34</f>
        <v>0.95</v>
      </c>
      <c r="Y33" s="176">
        <f>USD!Y34</f>
        <v>1</v>
      </c>
      <c r="Z33" s="176">
        <f>USD!Z34</f>
        <v>0.9</v>
      </c>
      <c r="AA33" s="176">
        <f>USD!AA34</f>
        <v>0.85</v>
      </c>
    </row>
    <row r="34" spans="15:27" ht="12.75">
      <c r="O34" s="87" t="str">
        <f>USD!O35</f>
        <v>Белгородская область (не включая г. Белгород)</v>
      </c>
      <c r="P34" s="88">
        <f>USD!P35</f>
        <v>100</v>
      </c>
      <c r="Q34" s="88">
        <f>USD!Q35</f>
        <v>85</v>
      </c>
      <c r="R34" s="176">
        <f>USD!R35</f>
        <v>0.85</v>
      </c>
      <c r="S34" s="176">
        <f>USD!S35</f>
        <v>0.85</v>
      </c>
      <c r="T34" s="176">
        <f>USD!T35</f>
        <v>0.7</v>
      </c>
      <c r="U34" s="176">
        <f>USD!U35</f>
        <v>0.85</v>
      </c>
      <c r="V34" s="176">
        <f>USD!V35</f>
        <v>0.7</v>
      </c>
      <c r="W34" s="176">
        <f>USD!W35</f>
        <v>0.85</v>
      </c>
      <c r="X34" s="176">
        <f>USD!X35</f>
        <v>0.95</v>
      </c>
      <c r="Y34" s="176">
        <f>USD!Y35</f>
        <v>1</v>
      </c>
      <c r="Z34" s="176">
        <f>USD!Z35</f>
        <v>0.9</v>
      </c>
      <c r="AA34" s="176">
        <f>USD!AA35</f>
        <v>0.85</v>
      </c>
    </row>
    <row r="35" spans="15:27" ht="12.75">
      <c r="O35" s="87" t="str">
        <f>USD!O36</f>
        <v>г. Белгород</v>
      </c>
      <c r="P35" s="88">
        <f>USD!P36</f>
        <v>100</v>
      </c>
      <c r="Q35" s="88">
        <f>USD!Q36</f>
        <v>85</v>
      </c>
      <c r="R35" s="176">
        <f>USD!R36</f>
        <v>0.9</v>
      </c>
      <c r="S35" s="176">
        <f>USD!S36</f>
        <v>0.85</v>
      </c>
      <c r="T35" s="176">
        <f>USD!T36</f>
        <v>0.7</v>
      </c>
      <c r="U35" s="176">
        <f>USD!U36</f>
        <v>0.85</v>
      </c>
      <c r="V35" s="176">
        <f>USD!V36</f>
        <v>0.7</v>
      </c>
      <c r="W35" s="176">
        <f>USD!W36</f>
        <v>0.9</v>
      </c>
      <c r="X35" s="176">
        <f>USD!X36</f>
        <v>0.95</v>
      </c>
      <c r="Y35" s="176">
        <f>USD!Y36</f>
        <v>1</v>
      </c>
      <c r="Z35" s="176">
        <f>USD!Z36</f>
        <v>0.9</v>
      </c>
      <c r="AA35" s="176">
        <f>USD!AA36</f>
        <v>0.85</v>
      </c>
    </row>
    <row r="36" spans="15:27" ht="12.75">
      <c r="O36" s="87" t="str">
        <f>USD!O37</f>
        <v>Владимирская область (не включая г. Владимир)</v>
      </c>
      <c r="P36" s="88">
        <f>USD!P37</f>
        <v>100</v>
      </c>
      <c r="Q36" s="88">
        <f>USD!Q37</f>
        <v>85</v>
      </c>
      <c r="R36" s="176">
        <f>USD!R37</f>
        <v>0.85</v>
      </c>
      <c r="S36" s="176">
        <f>USD!S37</f>
        <v>0.85</v>
      </c>
      <c r="T36" s="176">
        <f>USD!T37</f>
        <v>0.7</v>
      </c>
      <c r="U36" s="176">
        <f>USD!U37</f>
        <v>0.85</v>
      </c>
      <c r="V36" s="176">
        <f>USD!V37</f>
        <v>0.7</v>
      </c>
      <c r="W36" s="176">
        <f>USD!W37</f>
        <v>0.85</v>
      </c>
      <c r="X36" s="176">
        <f>USD!X37</f>
        <v>0.95</v>
      </c>
      <c r="Y36" s="176">
        <f>USD!Y37</f>
        <v>1</v>
      </c>
      <c r="Z36" s="176">
        <f>USD!Z37</f>
        <v>0.9</v>
      </c>
      <c r="AA36" s="176">
        <f>USD!AA37</f>
        <v>0.85</v>
      </c>
    </row>
    <row r="37" spans="15:27" ht="12.75">
      <c r="O37" s="87" t="str">
        <f>USD!O38</f>
        <v>г. Владимир</v>
      </c>
      <c r="P37" s="88">
        <f>USD!P38</f>
        <v>100</v>
      </c>
      <c r="Q37" s="88">
        <f>USD!Q38</f>
        <v>85</v>
      </c>
      <c r="R37" s="176">
        <f>USD!R38</f>
        <v>0.9</v>
      </c>
      <c r="S37" s="176">
        <f>USD!S38</f>
        <v>0.85</v>
      </c>
      <c r="T37" s="176">
        <f>USD!T38</f>
        <v>0.7</v>
      </c>
      <c r="U37" s="176">
        <f>USD!U38</f>
        <v>0.85</v>
      </c>
      <c r="V37" s="176">
        <f>USD!V38</f>
        <v>0.7</v>
      </c>
      <c r="W37" s="176">
        <f>USD!W38</f>
        <v>0.9</v>
      </c>
      <c r="X37" s="176">
        <f>USD!X38</f>
        <v>0.95</v>
      </c>
      <c r="Y37" s="176">
        <f>USD!Y38</f>
        <v>1</v>
      </c>
      <c r="Z37" s="176">
        <f>USD!Z38</f>
        <v>0.9</v>
      </c>
      <c r="AA37" s="176">
        <f>USD!AA38</f>
        <v>0.85</v>
      </c>
    </row>
    <row r="38" spans="15:27" ht="12.75">
      <c r="O38" s="87" t="str">
        <f>USD!O39</f>
        <v>Волгоградская область (не включая г. Волгоград)</v>
      </c>
      <c r="P38" s="88">
        <f>USD!P39</f>
        <v>100</v>
      </c>
      <c r="Q38" s="88">
        <f>USD!Q39</f>
        <v>85</v>
      </c>
      <c r="R38" s="176">
        <f>USD!R39</f>
        <v>0.85</v>
      </c>
      <c r="S38" s="176">
        <f>USD!S39</f>
        <v>0.85</v>
      </c>
      <c r="T38" s="176">
        <f>USD!T39</f>
        <v>0.7</v>
      </c>
      <c r="U38" s="176">
        <f>USD!U39</f>
        <v>0.85</v>
      </c>
      <c r="V38" s="176">
        <f>USD!V39</f>
        <v>0.7</v>
      </c>
      <c r="W38" s="176">
        <f>USD!W39</f>
        <v>0.85</v>
      </c>
      <c r="X38" s="176">
        <f>USD!X39</f>
        <v>0.95</v>
      </c>
      <c r="Y38" s="176">
        <f>USD!Y39</f>
        <v>1</v>
      </c>
      <c r="Z38" s="176">
        <f>USD!Z39</f>
        <v>0.9</v>
      </c>
      <c r="AA38" s="176">
        <f>USD!AA39</f>
        <v>0.85</v>
      </c>
    </row>
    <row r="39" spans="15:27" ht="12.75">
      <c r="O39" s="87" t="str">
        <f>USD!O40</f>
        <v>г. Волгоград</v>
      </c>
      <c r="P39" s="88">
        <f>USD!P40</f>
        <v>100</v>
      </c>
      <c r="Q39" s="88">
        <f>USD!Q40</f>
        <v>85</v>
      </c>
      <c r="R39" s="176">
        <f>USD!R40</f>
        <v>0.9</v>
      </c>
      <c r="S39" s="176">
        <f>USD!S40</f>
        <v>0.85</v>
      </c>
      <c r="T39" s="176">
        <f>USD!T40</f>
        <v>0.7</v>
      </c>
      <c r="U39" s="176">
        <f>USD!U40</f>
        <v>0.85</v>
      </c>
      <c r="V39" s="176">
        <f>USD!V40</f>
        <v>0.7</v>
      </c>
      <c r="W39" s="176">
        <f>USD!W40</f>
        <v>0.9</v>
      </c>
      <c r="X39" s="176">
        <f>USD!X40</f>
        <v>0.95</v>
      </c>
      <c r="Y39" s="176">
        <f>USD!Y40</f>
        <v>1</v>
      </c>
      <c r="Z39" s="176">
        <f>USD!Z40</f>
        <v>0.9</v>
      </c>
      <c r="AA39" s="176">
        <f>USD!AA40</f>
        <v>0.85</v>
      </c>
    </row>
    <row r="40" spans="15:27" ht="12.75">
      <c r="O40" s="87" t="str">
        <f>USD!O41</f>
        <v>г. Вологда</v>
      </c>
      <c r="P40" s="88">
        <f>USD!P41</f>
        <v>120</v>
      </c>
      <c r="Q40" s="88">
        <f>USD!Q41</f>
        <v>100</v>
      </c>
      <c r="R40" s="176">
        <f>USD!R41</f>
        <v>0.9</v>
      </c>
      <c r="S40" s="176">
        <f>USD!S41</f>
        <v>0.85</v>
      </c>
      <c r="T40" s="176">
        <f>USD!T41</f>
        <v>0.7</v>
      </c>
      <c r="U40" s="176">
        <f>USD!U41</f>
        <v>0.85</v>
      </c>
      <c r="V40" s="176">
        <f>USD!V41</f>
        <v>0.7</v>
      </c>
      <c r="W40" s="176">
        <f>USD!W41</f>
        <v>0.9</v>
      </c>
      <c r="X40" s="176">
        <f>USD!X41</f>
        <v>0.95</v>
      </c>
      <c r="Y40" s="176">
        <f>USD!Y41</f>
        <v>1</v>
      </c>
      <c r="Z40" s="176">
        <f>USD!Z41</f>
        <v>0.9</v>
      </c>
      <c r="AA40" s="176">
        <f>USD!AA41</f>
        <v>0.85</v>
      </c>
    </row>
    <row r="41" spans="15:27" ht="12.75">
      <c r="O41" s="87" t="str">
        <f>USD!O42</f>
        <v>Воронежская область (включая г. Воронеж)</v>
      </c>
      <c r="P41" s="88">
        <f>USD!P42</f>
        <v>100</v>
      </c>
      <c r="Q41" s="88">
        <f>USD!Q42</f>
        <v>85</v>
      </c>
      <c r="R41" s="176">
        <f>USD!R42</f>
        <v>0.85</v>
      </c>
      <c r="S41" s="176">
        <f>USD!S42</f>
        <v>0.85</v>
      </c>
      <c r="T41" s="176">
        <f>USD!T42</f>
        <v>0.7</v>
      </c>
      <c r="U41" s="176">
        <f>USD!U42</f>
        <v>0.85</v>
      </c>
      <c r="V41" s="176">
        <f>USD!V42</f>
        <v>0.7</v>
      </c>
      <c r="W41" s="176">
        <f>USD!W42</f>
        <v>0.85</v>
      </c>
      <c r="X41" s="176">
        <f>USD!X42</f>
        <v>0.95</v>
      </c>
      <c r="Y41" s="176">
        <f>USD!Y42</f>
        <v>1</v>
      </c>
      <c r="Z41" s="176">
        <f>USD!Z42</f>
        <v>0.9</v>
      </c>
      <c r="AA41" s="176">
        <f>USD!AA42</f>
        <v>0.85</v>
      </c>
    </row>
    <row r="42" spans="15:27" ht="12.75">
      <c r="O42" s="87" t="str">
        <f>USD!O43</f>
        <v>Иркутская область (не включая г. Иркутск и г. Ангарск)</v>
      </c>
      <c r="P42" s="88">
        <f>USD!P43</f>
        <v>120</v>
      </c>
      <c r="Q42" s="88">
        <f>USD!Q43</f>
        <v>100</v>
      </c>
      <c r="R42" s="176">
        <f>USD!R43</f>
        <v>0.85</v>
      </c>
      <c r="S42" s="176">
        <f>USD!S43</f>
        <v>0.85</v>
      </c>
      <c r="T42" s="176">
        <f>USD!T43</f>
        <v>0.7</v>
      </c>
      <c r="U42" s="176">
        <f>USD!U43</f>
        <v>0.85</v>
      </c>
      <c r="V42" s="176">
        <f>USD!V43</f>
        <v>0.7</v>
      </c>
      <c r="W42" s="176">
        <f>USD!W43</f>
        <v>0.85</v>
      </c>
      <c r="X42" s="176">
        <f>USD!X43</f>
        <v>0.95</v>
      </c>
      <c r="Y42" s="176">
        <f>USD!Y43</f>
        <v>1</v>
      </c>
      <c r="Z42" s="176">
        <f>USD!Z43</f>
        <v>0.9</v>
      </c>
      <c r="AA42" s="176">
        <f>USD!AA43</f>
        <v>0.85</v>
      </c>
    </row>
    <row r="43" spans="15:27" ht="12.75">
      <c r="O43" s="87" t="str">
        <f>USD!O44</f>
        <v>г. Иркутск</v>
      </c>
      <c r="P43" s="88">
        <f>USD!P44</f>
        <v>120</v>
      </c>
      <c r="Q43" s="88">
        <f>USD!Q44</f>
        <v>100</v>
      </c>
      <c r="R43" s="176">
        <f>USD!R44</f>
        <v>0.9</v>
      </c>
      <c r="S43" s="176">
        <f>USD!S44</f>
        <v>0.85</v>
      </c>
      <c r="T43" s="176">
        <f>USD!T44</f>
        <v>0.7</v>
      </c>
      <c r="U43" s="176">
        <f>USD!U44</f>
        <v>0.85</v>
      </c>
      <c r="V43" s="176">
        <f>USD!V44</f>
        <v>0.7</v>
      </c>
      <c r="W43" s="176">
        <f>USD!W44</f>
        <v>0.9</v>
      </c>
      <c r="X43" s="176">
        <f>USD!X44</f>
        <v>0.95</v>
      </c>
      <c r="Y43" s="176">
        <f>USD!Y44</f>
        <v>1</v>
      </c>
      <c r="Z43" s="176">
        <f>USD!Z44</f>
        <v>0.9</v>
      </c>
      <c r="AA43" s="176">
        <f>USD!AA44</f>
        <v>0.85</v>
      </c>
    </row>
    <row r="44" spans="15:27" ht="12.75">
      <c r="O44" s="87" t="str">
        <f>USD!O45</f>
        <v>г. Ангарск</v>
      </c>
      <c r="P44" s="88">
        <f>USD!P45</f>
        <v>120</v>
      </c>
      <c r="Q44" s="88">
        <f>USD!Q45</f>
        <v>100</v>
      </c>
      <c r="R44" s="176">
        <f>USD!R45</f>
        <v>0.9</v>
      </c>
      <c r="S44" s="176">
        <f>USD!S45</f>
        <v>0.85</v>
      </c>
      <c r="T44" s="176">
        <f>USD!T45</f>
        <v>0.7</v>
      </c>
      <c r="U44" s="176">
        <f>USD!U45</f>
        <v>0.85</v>
      </c>
      <c r="V44" s="176">
        <f>USD!V45</f>
        <v>0.7</v>
      </c>
      <c r="W44" s="176">
        <f>USD!W45</f>
        <v>0.9</v>
      </c>
      <c r="X44" s="176">
        <f>USD!X45</f>
        <v>0.95</v>
      </c>
      <c r="Y44" s="176">
        <f>USD!Y45</f>
        <v>1</v>
      </c>
      <c r="Z44" s="176">
        <f>USD!Z45</f>
        <v>0.9</v>
      </c>
      <c r="AA44" s="176">
        <f>USD!AA45</f>
        <v>0.85</v>
      </c>
    </row>
    <row r="45" spans="15:27" ht="12.75">
      <c r="O45" s="87" t="str">
        <f>USD!O46</f>
        <v>Калининградская область (не включая г. Калининград)</v>
      </c>
      <c r="P45" s="88">
        <f>USD!P46</f>
        <v>100</v>
      </c>
      <c r="Q45" s="88">
        <f>USD!Q46</f>
        <v>85</v>
      </c>
      <c r="R45" s="176">
        <f>USD!R46</f>
        <v>0.85</v>
      </c>
      <c r="S45" s="176">
        <f>USD!S46</f>
        <v>0.85</v>
      </c>
      <c r="T45" s="176">
        <f>USD!T46</f>
        <v>0.7</v>
      </c>
      <c r="U45" s="176">
        <f>USD!U46</f>
        <v>0.85</v>
      </c>
      <c r="V45" s="176">
        <f>USD!V46</f>
        <v>0.7</v>
      </c>
      <c r="W45" s="176">
        <f>USD!W46</f>
        <v>0.85</v>
      </c>
      <c r="X45" s="176">
        <f>USD!X46</f>
        <v>0.95</v>
      </c>
      <c r="Y45" s="176">
        <f>USD!Y46</f>
        <v>1</v>
      </c>
      <c r="Z45" s="176">
        <f>USD!Z46</f>
        <v>0.9</v>
      </c>
      <c r="AA45" s="176">
        <f>USD!AA46</f>
        <v>0.85</v>
      </c>
    </row>
    <row r="46" spans="15:27" ht="12.75">
      <c r="O46" s="87" t="str">
        <f>USD!O47</f>
        <v>г. Калининград</v>
      </c>
      <c r="P46" s="88">
        <f>USD!P47</f>
        <v>100</v>
      </c>
      <c r="Q46" s="88">
        <f>USD!Q47</f>
        <v>85</v>
      </c>
      <c r="R46" s="176">
        <f>USD!R47</f>
        <v>0.9</v>
      </c>
      <c r="S46" s="176">
        <f>USD!S47</f>
        <v>0.85</v>
      </c>
      <c r="T46" s="176">
        <f>USD!T47</f>
        <v>0.7</v>
      </c>
      <c r="U46" s="176">
        <f>USD!U47</f>
        <v>0.85</v>
      </c>
      <c r="V46" s="176">
        <f>USD!V47</f>
        <v>0.7</v>
      </c>
      <c r="W46" s="176">
        <f>USD!W47</f>
        <v>0.9</v>
      </c>
      <c r="X46" s="176">
        <f>USD!X47</f>
        <v>0.95</v>
      </c>
      <c r="Y46" s="176">
        <f>USD!Y47</f>
        <v>1</v>
      </c>
      <c r="Z46" s="176">
        <f>USD!Z47</f>
        <v>0.9</v>
      </c>
      <c r="AA46" s="176">
        <f>USD!AA47</f>
        <v>0.85</v>
      </c>
    </row>
    <row r="47" spans="15:27" ht="12.75">
      <c r="O47" s="87" t="str">
        <f>USD!O48</f>
        <v>Кемеровская область (не включая г. Кемерово)</v>
      </c>
      <c r="P47" s="88">
        <f>USD!P48</f>
        <v>100</v>
      </c>
      <c r="Q47" s="88">
        <f>USD!Q48</f>
        <v>85</v>
      </c>
      <c r="R47" s="176">
        <f>USD!R48</f>
        <v>0.85</v>
      </c>
      <c r="S47" s="176">
        <f>USD!S48</f>
        <v>0.85</v>
      </c>
      <c r="T47" s="176">
        <f>USD!T48</f>
        <v>0.7</v>
      </c>
      <c r="U47" s="176">
        <f>USD!U48</f>
        <v>0.85</v>
      </c>
      <c r="V47" s="176">
        <f>USD!V48</f>
        <v>0.7</v>
      </c>
      <c r="W47" s="176">
        <f>USD!W48</f>
        <v>0.85</v>
      </c>
      <c r="X47" s="176">
        <f>USD!X48</f>
        <v>0.95</v>
      </c>
      <c r="Y47" s="176">
        <f>USD!Y48</f>
        <v>1</v>
      </c>
      <c r="Z47" s="176">
        <f>USD!Z48</f>
        <v>0.9</v>
      </c>
      <c r="AA47" s="176">
        <f>USD!AA48</f>
        <v>0.85</v>
      </c>
    </row>
    <row r="48" spans="15:27" ht="12.75">
      <c r="O48" s="87" t="str">
        <f>USD!O49</f>
        <v>г. Кемерово</v>
      </c>
      <c r="P48" s="88">
        <f>USD!P49</f>
        <v>100</v>
      </c>
      <c r="Q48" s="88">
        <f>USD!Q49</f>
        <v>85</v>
      </c>
      <c r="R48" s="176">
        <f>USD!R49</f>
        <v>0.9</v>
      </c>
      <c r="S48" s="176">
        <f>USD!S49</f>
        <v>0.85</v>
      </c>
      <c r="T48" s="176">
        <f>USD!T49</f>
        <v>0.7</v>
      </c>
      <c r="U48" s="176">
        <f>USD!U49</f>
        <v>0.85</v>
      </c>
      <c r="V48" s="176">
        <f>USD!V49</f>
        <v>0.7</v>
      </c>
      <c r="W48" s="176">
        <f>USD!W49</f>
        <v>0.9</v>
      </c>
      <c r="X48" s="176">
        <f>USD!X49</f>
        <v>0.95</v>
      </c>
      <c r="Y48" s="176">
        <f>USD!Y49</f>
        <v>1</v>
      </c>
      <c r="Z48" s="176">
        <f>USD!Z49</f>
        <v>0.9</v>
      </c>
      <c r="AA48" s="176">
        <f>USD!AA49</f>
        <v>0.85</v>
      </c>
    </row>
    <row r="49" spans="15:27" ht="12.75">
      <c r="O49" s="87" t="str">
        <f>USD!O50</f>
        <v>Костромская область (не включая г. Кострома)</v>
      </c>
      <c r="P49" s="88">
        <f>USD!P50</f>
        <v>100</v>
      </c>
      <c r="Q49" s="88">
        <f>USD!Q50</f>
        <v>85</v>
      </c>
      <c r="R49" s="176">
        <f>USD!R50</f>
        <v>0.85</v>
      </c>
      <c r="S49" s="176">
        <f>USD!S50</f>
        <v>0.85</v>
      </c>
      <c r="T49" s="176">
        <f>USD!T50</f>
        <v>0.7</v>
      </c>
      <c r="U49" s="176">
        <f>USD!U50</f>
        <v>0.85</v>
      </c>
      <c r="V49" s="176">
        <f>USD!V50</f>
        <v>0.7</v>
      </c>
      <c r="W49" s="176">
        <f>USD!W50</f>
        <v>0.85</v>
      </c>
      <c r="X49" s="176">
        <f>USD!X50</f>
        <v>0.95</v>
      </c>
      <c r="Y49" s="176">
        <f>USD!Y50</f>
        <v>1</v>
      </c>
      <c r="Z49" s="176">
        <f>USD!Z50</f>
        <v>0.9</v>
      </c>
      <c r="AA49" s="176">
        <f>USD!AA50</f>
        <v>0.85</v>
      </c>
    </row>
    <row r="50" spans="15:27" ht="12.75">
      <c r="O50" s="87" t="str">
        <f>USD!O51</f>
        <v>г. Кострома</v>
      </c>
      <c r="P50" s="88">
        <f>USD!P51</f>
        <v>100</v>
      </c>
      <c r="Q50" s="88">
        <f>USD!Q51</f>
        <v>85</v>
      </c>
      <c r="R50" s="176">
        <f>USD!R51</f>
        <v>0.9</v>
      </c>
      <c r="S50" s="176">
        <f>USD!S51</f>
        <v>0.85</v>
      </c>
      <c r="T50" s="176">
        <f>USD!T51</f>
        <v>0.7</v>
      </c>
      <c r="U50" s="176">
        <f>USD!U51</f>
        <v>0.85</v>
      </c>
      <c r="V50" s="176">
        <f>USD!V51</f>
        <v>0.7</v>
      </c>
      <c r="W50" s="176">
        <f>USD!W51</f>
        <v>0.9</v>
      </c>
      <c r="X50" s="176">
        <f>USD!X51</f>
        <v>0.95</v>
      </c>
      <c r="Y50" s="176">
        <f>USD!Y51</f>
        <v>1</v>
      </c>
      <c r="Z50" s="176">
        <f>USD!Z51</f>
        <v>0.9</v>
      </c>
      <c r="AA50" s="176">
        <f>USD!AA51</f>
        <v>0.85</v>
      </c>
    </row>
    <row r="51" spans="15:27" ht="12.75">
      <c r="O51" s="87" t="str">
        <f>USD!O52</f>
        <v>Краснодарский край (не включая г. Краснодар и г. Сочи)</v>
      </c>
      <c r="P51" s="88">
        <f>USD!P52</f>
        <v>100</v>
      </c>
      <c r="Q51" s="88">
        <f>USD!Q52</f>
        <v>85</v>
      </c>
      <c r="R51" s="176">
        <f>USD!R52</f>
        <v>0.85</v>
      </c>
      <c r="S51" s="176">
        <f>USD!S52</f>
        <v>0.85</v>
      </c>
      <c r="T51" s="176">
        <f>USD!T52</f>
        <v>0.7</v>
      </c>
      <c r="U51" s="176">
        <f>USD!U52</f>
        <v>0.85</v>
      </c>
      <c r="V51" s="176">
        <f>USD!V52</f>
        <v>0.7</v>
      </c>
      <c r="W51" s="176">
        <f>USD!W52</f>
        <v>0.85</v>
      </c>
      <c r="X51" s="176">
        <f>USD!X52</f>
        <v>0.95</v>
      </c>
      <c r="Y51" s="176">
        <f>USD!Y52</f>
        <v>1</v>
      </c>
      <c r="Z51" s="176">
        <f>USD!Z52</f>
        <v>0.9</v>
      </c>
      <c r="AA51" s="176">
        <f>USD!AA52</f>
        <v>0.85</v>
      </c>
    </row>
    <row r="52" spans="15:27" ht="12.75">
      <c r="O52" s="87" t="str">
        <f>USD!O53</f>
        <v>г. Краснодар</v>
      </c>
      <c r="P52" s="88">
        <f>USD!P53</f>
        <v>100</v>
      </c>
      <c r="Q52" s="88">
        <f>USD!Q53</f>
        <v>85</v>
      </c>
      <c r="R52" s="176">
        <f>USD!R53</f>
        <v>0.9</v>
      </c>
      <c r="S52" s="176">
        <f>USD!S53</f>
        <v>0.85</v>
      </c>
      <c r="T52" s="176">
        <f>USD!T53</f>
        <v>0.7</v>
      </c>
      <c r="U52" s="176">
        <f>USD!U53</f>
        <v>0.85</v>
      </c>
      <c r="V52" s="176">
        <f>USD!V53</f>
        <v>0.7</v>
      </c>
      <c r="W52" s="176">
        <f>USD!W53</f>
        <v>0.9</v>
      </c>
      <c r="X52" s="176">
        <f>USD!X53</f>
        <v>0.95</v>
      </c>
      <c r="Y52" s="176">
        <f>USD!Y53</f>
        <v>1</v>
      </c>
      <c r="Z52" s="176">
        <f>USD!Z53</f>
        <v>0.9</v>
      </c>
      <c r="AA52" s="176">
        <f>USD!AA53</f>
        <v>0.85</v>
      </c>
    </row>
    <row r="53" spans="15:27" ht="12.75">
      <c r="O53" s="87" t="str">
        <f>USD!O54</f>
        <v>г. Сочи</v>
      </c>
      <c r="P53" s="88">
        <f>USD!P54</f>
        <v>100</v>
      </c>
      <c r="Q53" s="88">
        <f>USD!Q54</f>
        <v>85</v>
      </c>
      <c r="R53" s="176">
        <f>USD!R54</f>
        <v>0.9</v>
      </c>
      <c r="S53" s="176">
        <f>USD!S54</f>
        <v>0.85</v>
      </c>
      <c r="T53" s="176">
        <f>USD!T54</f>
        <v>0.7</v>
      </c>
      <c r="U53" s="176">
        <f>USD!U54</f>
        <v>0.85</v>
      </c>
      <c r="V53" s="176">
        <f>USD!V54</f>
        <v>0.7</v>
      </c>
      <c r="W53" s="176">
        <f>USD!W54</f>
        <v>0.9</v>
      </c>
      <c r="X53" s="176">
        <f>USD!X54</f>
        <v>0.95</v>
      </c>
      <c r="Y53" s="176">
        <f>USD!Y54</f>
        <v>1</v>
      </c>
      <c r="Z53" s="176">
        <f>USD!Z54</f>
        <v>0.9</v>
      </c>
      <c r="AA53" s="176">
        <f>USD!AA54</f>
        <v>0.85</v>
      </c>
    </row>
    <row r="54" spans="15:27" ht="12.75">
      <c r="O54" s="87" t="str">
        <f>USD!O55</f>
        <v>Красноярский край (не включая г. Красноярск)</v>
      </c>
      <c r="P54" s="88">
        <f>USD!P55</f>
        <v>100</v>
      </c>
      <c r="Q54" s="88">
        <f>USD!Q55</f>
        <v>85</v>
      </c>
      <c r="R54" s="176">
        <f>USD!R55</f>
        <v>0.85</v>
      </c>
      <c r="S54" s="176">
        <f>USD!S55</f>
        <v>0.85</v>
      </c>
      <c r="T54" s="176">
        <f>USD!T55</f>
        <v>0.7</v>
      </c>
      <c r="U54" s="176">
        <f>USD!U55</f>
        <v>0.85</v>
      </c>
      <c r="V54" s="176">
        <f>USD!V55</f>
        <v>0.7</v>
      </c>
      <c r="W54" s="176">
        <f>USD!W55</f>
        <v>0.85</v>
      </c>
      <c r="X54" s="176">
        <f>USD!X55</f>
        <v>0.95</v>
      </c>
      <c r="Y54" s="176">
        <f>USD!Y55</f>
        <v>1</v>
      </c>
      <c r="Z54" s="176">
        <f>USD!Z55</f>
        <v>0.9</v>
      </c>
      <c r="AA54" s="176">
        <f>USD!AA55</f>
        <v>0.85</v>
      </c>
    </row>
    <row r="55" spans="15:27" ht="12.75">
      <c r="O55" s="87" t="str">
        <f>USD!O56</f>
        <v>г. Красноярск</v>
      </c>
      <c r="P55" s="88">
        <f>USD!P56</f>
        <v>100</v>
      </c>
      <c r="Q55" s="88">
        <f>USD!Q56</f>
        <v>85</v>
      </c>
      <c r="R55" s="176">
        <f>USD!R56</f>
        <v>1</v>
      </c>
      <c r="S55" s="176">
        <f>USD!S56</f>
        <v>0.95</v>
      </c>
      <c r="T55" s="176">
        <f>USD!T56</f>
        <v>0.9</v>
      </c>
      <c r="U55" s="176">
        <f>USD!U56</f>
        <v>0.95</v>
      </c>
      <c r="V55" s="176">
        <f>USD!V56</f>
        <v>0.95</v>
      </c>
      <c r="W55" s="176">
        <f>USD!W56</f>
        <v>1</v>
      </c>
      <c r="X55" s="176">
        <f>USD!X56</f>
        <v>0.95</v>
      </c>
      <c r="Y55" s="176">
        <f>USD!Y56</f>
        <v>1</v>
      </c>
      <c r="Z55" s="176">
        <f>USD!Z56</f>
        <v>0.9</v>
      </c>
      <c r="AA55" s="176">
        <f>USD!AA56</f>
        <v>0.85</v>
      </c>
    </row>
    <row r="56" spans="15:27" ht="12.75">
      <c r="O56" s="87" t="str">
        <f>USD!O57</f>
        <v>Курская область (не включая г. Курск)</v>
      </c>
      <c r="P56" s="88">
        <f>USD!P57</f>
        <v>100</v>
      </c>
      <c r="Q56" s="88">
        <f>USD!Q57</f>
        <v>85</v>
      </c>
      <c r="R56" s="176">
        <f>USD!R57</f>
        <v>0.85</v>
      </c>
      <c r="S56" s="176">
        <f>USD!S57</f>
        <v>0.85</v>
      </c>
      <c r="T56" s="176">
        <f>USD!T57</f>
        <v>0.7</v>
      </c>
      <c r="U56" s="176">
        <f>USD!U57</f>
        <v>0.85</v>
      </c>
      <c r="V56" s="176">
        <f>USD!V57</f>
        <v>0.7</v>
      </c>
      <c r="W56" s="176">
        <f>USD!W57</f>
        <v>0.85</v>
      </c>
      <c r="X56" s="176">
        <f>USD!X57</f>
        <v>0.95</v>
      </c>
      <c r="Y56" s="176">
        <f>USD!Y57</f>
        <v>1</v>
      </c>
      <c r="Z56" s="176">
        <f>USD!Z57</f>
        <v>0.9</v>
      </c>
      <c r="AA56" s="176">
        <f>USD!AA57</f>
        <v>0.85</v>
      </c>
    </row>
    <row r="57" spans="15:27" ht="12.75">
      <c r="O57" s="87" t="str">
        <f>USD!O58</f>
        <v>г. Курск</v>
      </c>
      <c r="P57" s="88">
        <f>USD!P58</f>
        <v>100</v>
      </c>
      <c r="Q57" s="88">
        <f>USD!Q58</f>
        <v>85</v>
      </c>
      <c r="R57" s="176">
        <f>USD!R58</f>
        <v>0.9</v>
      </c>
      <c r="S57" s="176">
        <f>USD!S58</f>
        <v>0.85</v>
      </c>
      <c r="T57" s="176">
        <f>USD!T58</f>
        <v>0.7</v>
      </c>
      <c r="U57" s="176">
        <f>USD!U58</f>
        <v>0.85</v>
      </c>
      <c r="V57" s="176">
        <f>USD!V58</f>
        <v>0.7</v>
      </c>
      <c r="W57" s="176">
        <f>USD!W58</f>
        <v>0.9</v>
      </c>
      <c r="X57" s="176">
        <f>USD!X58</f>
        <v>0.95</v>
      </c>
      <c r="Y57" s="176">
        <f>USD!Y58</f>
        <v>1</v>
      </c>
      <c r="Z57" s="176">
        <f>USD!Z58</f>
        <v>0.9</v>
      </c>
      <c r="AA57" s="176">
        <f>USD!AA58</f>
        <v>0.85</v>
      </c>
    </row>
    <row r="58" spans="15:27" ht="12.75">
      <c r="O58" s="87" t="str">
        <f>USD!O59</f>
        <v>Ленинградская область (включая г. Санкт-Петербург)</v>
      </c>
      <c r="P58" s="88">
        <f>USD!P59</f>
        <v>120</v>
      </c>
      <c r="Q58" s="88">
        <f>USD!Q59</f>
        <v>100</v>
      </c>
      <c r="R58" s="176">
        <f>USD!R59</f>
        <v>1</v>
      </c>
      <c r="S58" s="176">
        <f>USD!S59</f>
        <v>0.95</v>
      </c>
      <c r="T58" s="176">
        <f>USD!T59</f>
        <v>0.9</v>
      </c>
      <c r="U58" s="176">
        <f>USD!U59</f>
        <v>0.95</v>
      </c>
      <c r="V58" s="176">
        <f>USD!V59</f>
        <v>0.95</v>
      </c>
      <c r="W58" s="176">
        <f>USD!W59</f>
        <v>1</v>
      </c>
      <c r="X58" s="176">
        <f>USD!X59</f>
        <v>0.95</v>
      </c>
      <c r="Y58" s="176">
        <f>USD!Y59</f>
        <v>1</v>
      </c>
      <c r="Z58" s="176">
        <f>USD!Z59</f>
        <v>0.9</v>
      </c>
      <c r="AA58" s="176">
        <f>USD!AA59</f>
        <v>0.85</v>
      </c>
    </row>
    <row r="59" spans="15:27" ht="12.75">
      <c r="O59" s="87" t="str">
        <f>USD!O60</f>
        <v>Липецкая область (не включая г. Липецк)</v>
      </c>
      <c r="P59" s="88">
        <f>USD!P60</f>
        <v>100</v>
      </c>
      <c r="Q59" s="88">
        <f>USD!Q60</f>
        <v>85</v>
      </c>
      <c r="R59" s="176">
        <f>USD!R60</f>
        <v>0.85</v>
      </c>
      <c r="S59" s="176">
        <f>USD!S60</f>
        <v>0.85</v>
      </c>
      <c r="T59" s="176">
        <f>USD!T60</f>
        <v>0.7</v>
      </c>
      <c r="U59" s="176">
        <f>USD!U60</f>
        <v>0.85</v>
      </c>
      <c r="V59" s="176">
        <f>USD!V60</f>
        <v>0.7</v>
      </c>
      <c r="W59" s="176">
        <f>USD!W60</f>
        <v>0.85</v>
      </c>
      <c r="X59" s="176">
        <f>USD!X60</f>
        <v>0.95</v>
      </c>
      <c r="Y59" s="176">
        <f>USD!Y60</f>
        <v>1</v>
      </c>
      <c r="Z59" s="176">
        <f>USD!Z60</f>
        <v>0.9</v>
      </c>
      <c r="AA59" s="176">
        <f>USD!AA60</f>
        <v>0.85</v>
      </c>
    </row>
    <row r="60" spans="15:27" ht="12.75">
      <c r="O60" s="87" t="str">
        <f>USD!O61</f>
        <v>г. Липецк</v>
      </c>
      <c r="P60" s="88">
        <f>USD!P61</f>
        <v>100</v>
      </c>
      <c r="Q60" s="88">
        <f>USD!Q61</f>
        <v>85</v>
      </c>
      <c r="R60" s="176">
        <f>USD!R61</f>
        <v>0.9</v>
      </c>
      <c r="S60" s="176">
        <f>USD!S61</f>
        <v>0.85</v>
      </c>
      <c r="T60" s="176">
        <f>USD!T61</f>
        <v>0.7</v>
      </c>
      <c r="U60" s="176">
        <f>USD!U61</f>
        <v>0.85</v>
      </c>
      <c r="V60" s="176">
        <f>USD!V61</f>
        <v>0.7</v>
      </c>
      <c r="W60" s="176">
        <f>USD!W61</f>
        <v>0.9</v>
      </c>
      <c r="X60" s="176">
        <f>USD!X61</f>
        <v>0.95</v>
      </c>
      <c r="Y60" s="176">
        <f>USD!Y61</f>
        <v>1</v>
      </c>
      <c r="Z60" s="176">
        <f>USD!Z61</f>
        <v>0.9</v>
      </c>
      <c r="AA60" s="176">
        <f>USD!AA61</f>
        <v>0.85</v>
      </c>
    </row>
    <row r="61" spans="15:27" ht="12.75">
      <c r="O61" s="87" t="str">
        <f>USD!O62</f>
        <v>Нижегородская область (не включая г. Нижний Новгород)</v>
      </c>
      <c r="P61" s="88">
        <f>USD!P62</f>
        <v>100</v>
      </c>
      <c r="Q61" s="88">
        <f>USD!Q62</f>
        <v>85</v>
      </c>
      <c r="R61" s="176">
        <f>USD!R62</f>
        <v>0.85</v>
      </c>
      <c r="S61" s="176">
        <f>USD!S62</f>
        <v>0.85</v>
      </c>
      <c r="T61" s="176">
        <f>USD!T62</f>
        <v>0.7</v>
      </c>
      <c r="U61" s="176">
        <f>USD!U62</f>
        <v>0.85</v>
      </c>
      <c r="V61" s="176">
        <f>USD!V62</f>
        <v>0.7</v>
      </c>
      <c r="W61" s="176">
        <f>USD!W62</f>
        <v>0.85</v>
      </c>
      <c r="X61" s="176">
        <f>USD!X62</f>
        <v>0.95</v>
      </c>
      <c r="Y61" s="176">
        <f>USD!Y62</f>
        <v>1</v>
      </c>
      <c r="Z61" s="176">
        <f>USD!Z62</f>
        <v>0.9</v>
      </c>
      <c r="AA61" s="176">
        <f>USD!AA62</f>
        <v>0.85</v>
      </c>
    </row>
    <row r="62" spans="15:27" ht="12.75">
      <c r="O62" s="87" t="str">
        <f>USD!O63</f>
        <v>г. Нижний Новгород</v>
      </c>
      <c r="P62" s="88">
        <f>USD!P63</f>
        <v>100</v>
      </c>
      <c r="Q62" s="88">
        <f>USD!Q63</f>
        <v>85</v>
      </c>
      <c r="R62" s="176">
        <f>USD!R63</f>
        <v>1</v>
      </c>
      <c r="S62" s="176">
        <f>USD!S63</f>
        <v>0.95</v>
      </c>
      <c r="T62" s="176">
        <f>USD!T63</f>
        <v>0.9</v>
      </c>
      <c r="U62" s="176">
        <f>USD!U63</f>
        <v>0.95</v>
      </c>
      <c r="V62" s="176">
        <f>USD!V63</f>
        <v>0.95</v>
      </c>
      <c r="W62" s="176">
        <f>USD!W63</f>
        <v>1</v>
      </c>
      <c r="X62" s="176">
        <f>USD!X63</f>
        <v>0.95</v>
      </c>
      <c r="Y62" s="176">
        <f>USD!Y63</f>
        <v>1</v>
      </c>
      <c r="Z62" s="176">
        <f>USD!Z63</f>
        <v>0.9</v>
      </c>
      <c r="AA62" s="176">
        <f>USD!AA63</f>
        <v>0.85</v>
      </c>
    </row>
    <row r="63" spans="15:27" ht="12.75">
      <c r="O63" s="87" t="str">
        <f>USD!O64</f>
        <v>Новосибирская область (не включая г. Новосибирск)</v>
      </c>
      <c r="P63" s="88">
        <f>USD!P64</f>
        <v>100</v>
      </c>
      <c r="Q63" s="88">
        <f>USD!Q64</f>
        <v>85</v>
      </c>
      <c r="R63" s="176">
        <f>USD!R64</f>
        <v>0.85</v>
      </c>
      <c r="S63" s="176">
        <f>USD!S64</f>
        <v>0.85</v>
      </c>
      <c r="T63" s="176">
        <f>USD!T64</f>
        <v>0.7</v>
      </c>
      <c r="U63" s="176">
        <f>USD!U64</f>
        <v>0.85</v>
      </c>
      <c r="V63" s="176">
        <f>USD!V64</f>
        <v>0.7</v>
      </c>
      <c r="W63" s="176">
        <f>USD!W64</f>
        <v>0.85</v>
      </c>
      <c r="X63" s="176">
        <f>USD!X64</f>
        <v>0.95</v>
      </c>
      <c r="Y63" s="176">
        <f>USD!Y64</f>
        <v>1</v>
      </c>
      <c r="Z63" s="176">
        <f>USD!Z64</f>
        <v>0.9</v>
      </c>
      <c r="AA63" s="176">
        <f>USD!AA64</f>
        <v>0.85</v>
      </c>
    </row>
    <row r="64" spans="15:27" ht="12.75">
      <c r="O64" s="87" t="str">
        <f>USD!O65</f>
        <v>г. Новосибирск</v>
      </c>
      <c r="P64" s="88">
        <f>USD!P65</f>
        <v>100</v>
      </c>
      <c r="Q64" s="88">
        <f>USD!Q65</f>
        <v>85</v>
      </c>
      <c r="R64" s="176">
        <f>USD!R65</f>
        <v>1</v>
      </c>
      <c r="S64" s="176">
        <f>USD!S65</f>
        <v>0.95</v>
      </c>
      <c r="T64" s="176">
        <f>USD!T65</f>
        <v>0.9</v>
      </c>
      <c r="U64" s="176">
        <f>USD!U65</f>
        <v>0.95</v>
      </c>
      <c r="V64" s="176">
        <f>USD!V65</f>
        <v>0.95</v>
      </c>
      <c r="W64" s="176">
        <f>USD!W65</f>
        <v>1</v>
      </c>
      <c r="X64" s="176">
        <f>USD!X65</f>
        <v>0.95</v>
      </c>
      <c r="Y64" s="176">
        <f>USD!Y65</f>
        <v>1</v>
      </c>
      <c r="Z64" s="176">
        <f>USD!Z65</f>
        <v>0.9</v>
      </c>
      <c r="AA64" s="176">
        <f>USD!AA65</f>
        <v>0.85</v>
      </c>
    </row>
    <row r="65" spans="15:27" ht="12.75">
      <c r="O65" s="87" t="str">
        <f>USD!O66</f>
        <v>Омская область (не включая г. Омск)</v>
      </c>
      <c r="P65" s="88">
        <f>USD!P66</f>
        <v>100</v>
      </c>
      <c r="Q65" s="88">
        <f>USD!Q66</f>
        <v>85</v>
      </c>
      <c r="R65" s="176">
        <f>USD!R66</f>
        <v>0.85</v>
      </c>
      <c r="S65" s="176">
        <f>USD!S66</f>
        <v>0.85</v>
      </c>
      <c r="T65" s="176">
        <f>USD!T66</f>
        <v>0.7</v>
      </c>
      <c r="U65" s="176">
        <f>USD!U66</f>
        <v>0.85</v>
      </c>
      <c r="V65" s="176">
        <f>USD!V66</f>
        <v>0.7</v>
      </c>
      <c r="W65" s="176">
        <f>USD!W66</f>
        <v>0.85</v>
      </c>
      <c r="X65" s="176">
        <f>USD!X66</f>
        <v>0.95</v>
      </c>
      <c r="Y65" s="176">
        <f>USD!Y66</f>
        <v>1</v>
      </c>
      <c r="Z65" s="176">
        <f>USD!Z66</f>
        <v>0.9</v>
      </c>
      <c r="AA65" s="176">
        <f>USD!AA66</f>
        <v>0.85</v>
      </c>
    </row>
    <row r="66" spans="15:27" ht="12.75">
      <c r="O66" s="87" t="str">
        <f>USD!O67</f>
        <v>г. Омск</v>
      </c>
      <c r="P66" s="88">
        <f>USD!P67</f>
        <v>100</v>
      </c>
      <c r="Q66" s="88">
        <f>USD!Q67</f>
        <v>85</v>
      </c>
      <c r="R66" s="176">
        <f>USD!R67</f>
        <v>0.9</v>
      </c>
      <c r="S66" s="176">
        <f>USD!S67</f>
        <v>0.85</v>
      </c>
      <c r="T66" s="176">
        <f>USD!T67</f>
        <v>0.7</v>
      </c>
      <c r="U66" s="176">
        <f>USD!U67</f>
        <v>0.85</v>
      </c>
      <c r="V66" s="176">
        <f>USD!V67</f>
        <v>0.7</v>
      </c>
      <c r="W66" s="176">
        <f>USD!W67</f>
        <v>0.9</v>
      </c>
      <c r="X66" s="176">
        <f>USD!X67</f>
        <v>0.95</v>
      </c>
      <c r="Y66" s="176">
        <f>USD!Y67</f>
        <v>1</v>
      </c>
      <c r="Z66" s="176">
        <f>USD!Z67</f>
        <v>0.9</v>
      </c>
      <c r="AA66" s="176">
        <f>USD!AA67</f>
        <v>0.85</v>
      </c>
    </row>
    <row r="67" spans="15:27" ht="12.75">
      <c r="O67" s="87" t="str">
        <f>USD!O68</f>
        <v>Пермский край (не включая г. Пермь)</v>
      </c>
      <c r="P67" s="88">
        <f>USD!P68</f>
        <v>100</v>
      </c>
      <c r="Q67" s="88">
        <f>USD!Q68</f>
        <v>85</v>
      </c>
      <c r="R67" s="176">
        <f>USD!R68</f>
        <v>0.85</v>
      </c>
      <c r="S67" s="176">
        <f>USD!S68</f>
        <v>0.85</v>
      </c>
      <c r="T67" s="176">
        <f>USD!T68</f>
        <v>0.7</v>
      </c>
      <c r="U67" s="176">
        <f>USD!U68</f>
        <v>0.85</v>
      </c>
      <c r="V67" s="176">
        <f>USD!V68</f>
        <v>0.7</v>
      </c>
      <c r="W67" s="176">
        <f>USD!W68</f>
        <v>0.85</v>
      </c>
      <c r="X67" s="176">
        <f>USD!X68</f>
        <v>0.95</v>
      </c>
      <c r="Y67" s="176">
        <f>USD!Y68</f>
        <v>1</v>
      </c>
      <c r="Z67" s="176">
        <f>USD!Z68</f>
        <v>0.9</v>
      </c>
      <c r="AA67" s="176">
        <f>USD!AA68</f>
        <v>0.85</v>
      </c>
    </row>
    <row r="68" spans="15:27" ht="12.75">
      <c r="O68" s="87" t="str">
        <f>USD!O69</f>
        <v>г. Пермь</v>
      </c>
      <c r="P68" s="88">
        <f>USD!P69</f>
        <v>100</v>
      </c>
      <c r="Q68" s="88">
        <f>USD!Q69</f>
        <v>85</v>
      </c>
      <c r="R68" s="176">
        <f>USD!R69</f>
        <v>0.9</v>
      </c>
      <c r="S68" s="176">
        <f>USD!S69</f>
        <v>0.85</v>
      </c>
      <c r="T68" s="176">
        <f>USD!T69</f>
        <v>0.7</v>
      </c>
      <c r="U68" s="176">
        <f>USD!U69</f>
        <v>0.85</v>
      </c>
      <c r="V68" s="176">
        <f>USD!V69</f>
        <v>0.7</v>
      </c>
      <c r="W68" s="176">
        <f>USD!W69</f>
        <v>0.9</v>
      </c>
      <c r="X68" s="176">
        <f>USD!X69</f>
        <v>0.95</v>
      </c>
      <c r="Y68" s="176">
        <f>USD!Y69</f>
        <v>1</v>
      </c>
      <c r="Z68" s="176">
        <f>USD!Z69</f>
        <v>0.9</v>
      </c>
      <c r="AA68" s="176">
        <f>USD!AA69</f>
        <v>0.85</v>
      </c>
    </row>
    <row r="69" spans="15:27" ht="12.75">
      <c r="O69" s="87" t="str">
        <f>USD!O70</f>
        <v>Приморский край (включая г. Владивосток)</v>
      </c>
      <c r="P69" s="88">
        <f>USD!P70</f>
        <v>120</v>
      </c>
      <c r="Q69" s="88">
        <f>USD!Q70</f>
        <v>100</v>
      </c>
      <c r="R69" s="176">
        <f>USD!R70</f>
        <v>0.85</v>
      </c>
      <c r="S69" s="176">
        <f>USD!S70</f>
        <v>0.85</v>
      </c>
      <c r="T69" s="176">
        <f>USD!T70</f>
        <v>0.7</v>
      </c>
      <c r="U69" s="176">
        <f>USD!U70</f>
        <v>0.85</v>
      </c>
      <c r="V69" s="176">
        <f>USD!V70</f>
        <v>0.7</v>
      </c>
      <c r="W69" s="176">
        <f>USD!W70</f>
        <v>0.85</v>
      </c>
      <c r="X69" s="176">
        <f>USD!X70</f>
        <v>0.95</v>
      </c>
      <c r="Y69" s="176">
        <f>USD!Y70</f>
        <v>1</v>
      </c>
      <c r="Z69" s="176">
        <f>USD!Z70</f>
        <v>0.9</v>
      </c>
      <c r="AA69" s="176">
        <f>USD!AA70</f>
        <v>0.85</v>
      </c>
    </row>
    <row r="70" spans="15:27" ht="12.75">
      <c r="O70" s="87" t="str">
        <f>USD!O71</f>
        <v>Республика Коми (не включая г. Сыктывкар)</v>
      </c>
      <c r="P70" s="88">
        <f>USD!P71</f>
        <v>100</v>
      </c>
      <c r="Q70" s="88">
        <f>USD!Q71</f>
        <v>85</v>
      </c>
      <c r="R70" s="176">
        <f>USD!R71</f>
        <v>0.85</v>
      </c>
      <c r="S70" s="176">
        <f>USD!S71</f>
        <v>0.85</v>
      </c>
      <c r="T70" s="176">
        <f>USD!T71</f>
        <v>0.7</v>
      </c>
      <c r="U70" s="176">
        <f>USD!U71</f>
        <v>0.85</v>
      </c>
      <c r="V70" s="176">
        <f>USD!V71</f>
        <v>0.7</v>
      </c>
      <c r="W70" s="176">
        <f>USD!W71</f>
        <v>0.85</v>
      </c>
      <c r="X70" s="176">
        <f>USD!X71</f>
        <v>0.95</v>
      </c>
      <c r="Y70" s="176">
        <f>USD!Y71</f>
        <v>1</v>
      </c>
      <c r="Z70" s="176">
        <f>USD!Z71</f>
        <v>0.9</v>
      </c>
      <c r="AA70" s="176">
        <f>USD!AA71</f>
        <v>0.85</v>
      </c>
    </row>
    <row r="71" spans="15:27" ht="12.75">
      <c r="O71" s="87" t="str">
        <f>USD!O72</f>
        <v>г. Сыктывкар</v>
      </c>
      <c r="P71" s="88">
        <f>USD!P72</f>
        <v>100</v>
      </c>
      <c r="Q71" s="88">
        <f>USD!Q72</f>
        <v>85</v>
      </c>
      <c r="R71" s="176">
        <f>USD!R72</f>
        <v>0.9</v>
      </c>
      <c r="S71" s="176">
        <f>USD!S72</f>
        <v>0.85</v>
      </c>
      <c r="T71" s="176">
        <f>USD!T72</f>
        <v>0.7</v>
      </c>
      <c r="U71" s="176">
        <f>USD!U72</f>
        <v>0.85</v>
      </c>
      <c r="V71" s="176">
        <f>USD!V72</f>
        <v>0.7</v>
      </c>
      <c r="W71" s="176">
        <f>USD!W72</f>
        <v>0.9</v>
      </c>
      <c r="X71" s="176">
        <f>USD!X72</f>
        <v>0.95</v>
      </c>
      <c r="Y71" s="176">
        <f>USD!Y72</f>
        <v>1</v>
      </c>
      <c r="Z71" s="176">
        <f>USD!Z72</f>
        <v>0.9</v>
      </c>
      <c r="AA71" s="176">
        <f>USD!AA72</f>
        <v>0.85</v>
      </c>
    </row>
    <row r="72" spans="15:27" ht="12.75">
      <c r="O72" s="87" t="str">
        <f>USD!O73</f>
        <v>Республика Марий Эл (не включая г. Йошкар-Олу)</v>
      </c>
      <c r="P72" s="88">
        <f>USD!P73</f>
        <v>100</v>
      </c>
      <c r="Q72" s="88">
        <f>USD!Q73</f>
        <v>85</v>
      </c>
      <c r="R72" s="176">
        <f>USD!R73</f>
        <v>0.85</v>
      </c>
      <c r="S72" s="176">
        <f>USD!S73</f>
        <v>0.85</v>
      </c>
      <c r="T72" s="176">
        <f>USD!T73</f>
        <v>0.7</v>
      </c>
      <c r="U72" s="176">
        <f>USD!U73</f>
        <v>0.85</v>
      </c>
      <c r="V72" s="176">
        <f>USD!V73</f>
        <v>0.7</v>
      </c>
      <c r="W72" s="176">
        <f>USD!W73</f>
        <v>0.85</v>
      </c>
      <c r="X72" s="176">
        <f>USD!X73</f>
        <v>0.95</v>
      </c>
      <c r="Y72" s="176">
        <f>USD!Y73</f>
        <v>1</v>
      </c>
      <c r="Z72" s="176">
        <f>USD!Z73</f>
        <v>0.9</v>
      </c>
      <c r="AA72" s="176">
        <f>USD!AA73</f>
        <v>0.85</v>
      </c>
    </row>
    <row r="73" spans="15:27" ht="12.75">
      <c r="O73" s="87" t="str">
        <f>USD!O74</f>
        <v>г. Йошкар-Ола</v>
      </c>
      <c r="P73" s="88">
        <f>USD!P74</f>
        <v>100</v>
      </c>
      <c r="Q73" s="88">
        <f>USD!Q74</f>
        <v>85</v>
      </c>
      <c r="R73" s="176">
        <f>USD!R74</f>
        <v>0.9</v>
      </c>
      <c r="S73" s="176">
        <f>USD!S74</f>
        <v>0.85</v>
      </c>
      <c r="T73" s="176">
        <f>USD!T74</f>
        <v>0.7</v>
      </c>
      <c r="U73" s="176">
        <f>USD!U74</f>
        <v>0.85</v>
      </c>
      <c r="V73" s="176">
        <f>USD!V74</f>
        <v>0.7</v>
      </c>
      <c r="W73" s="176">
        <f>USD!W74</f>
        <v>0.9</v>
      </c>
      <c r="X73" s="176">
        <f>USD!X74</f>
        <v>0.95</v>
      </c>
      <c r="Y73" s="176">
        <f>USD!Y74</f>
        <v>1</v>
      </c>
      <c r="Z73" s="176">
        <f>USD!Z74</f>
        <v>0.9</v>
      </c>
      <c r="AA73" s="176">
        <f>USD!AA74</f>
        <v>0.85</v>
      </c>
    </row>
    <row r="74" spans="15:27" ht="12.75">
      <c r="O74" s="87" t="str">
        <f>USD!O75</f>
        <v>Республика Саха (Якутия) (не включая г. Якутск)</v>
      </c>
      <c r="P74" s="88">
        <f>USD!P75</f>
        <v>120</v>
      </c>
      <c r="Q74" s="88">
        <f>USD!Q75</f>
        <v>100</v>
      </c>
      <c r="R74" s="176">
        <f>USD!R75</f>
        <v>0.85</v>
      </c>
      <c r="S74" s="176">
        <f>USD!S75</f>
        <v>0.85</v>
      </c>
      <c r="T74" s="176">
        <f>USD!T75</f>
        <v>0.7</v>
      </c>
      <c r="U74" s="176">
        <f>USD!U75</f>
        <v>0.85</v>
      </c>
      <c r="V74" s="176">
        <f>USD!V75</f>
        <v>0.7</v>
      </c>
      <c r="W74" s="176">
        <f>USD!W75</f>
        <v>0.85</v>
      </c>
      <c r="X74" s="176">
        <f>USD!X75</f>
        <v>0.95</v>
      </c>
      <c r="Y74" s="176">
        <f>USD!Y75</f>
        <v>1</v>
      </c>
      <c r="Z74" s="176">
        <f>USD!Z75</f>
        <v>0.9</v>
      </c>
      <c r="AA74" s="176">
        <f>USD!AA75</f>
        <v>0.85</v>
      </c>
    </row>
    <row r="75" spans="15:27" ht="12.75">
      <c r="O75" s="87" t="str">
        <f>USD!O76</f>
        <v>г. Якутск</v>
      </c>
      <c r="P75" s="88">
        <f>USD!P76</f>
        <v>120</v>
      </c>
      <c r="Q75" s="88">
        <f>USD!Q76</f>
        <v>100</v>
      </c>
      <c r="R75" s="176">
        <f>USD!R76</f>
        <v>0.9</v>
      </c>
      <c r="S75" s="176">
        <f>USD!S76</f>
        <v>0.85</v>
      </c>
      <c r="T75" s="176">
        <f>USD!T76</f>
        <v>0.7</v>
      </c>
      <c r="U75" s="176">
        <f>USD!U76</f>
        <v>0.85</v>
      </c>
      <c r="V75" s="176">
        <f>USD!V76</f>
        <v>0.7</v>
      </c>
      <c r="W75" s="176">
        <f>USD!W76</f>
        <v>0.9</v>
      </c>
      <c r="X75" s="176">
        <f>USD!X76</f>
        <v>0.95</v>
      </c>
      <c r="Y75" s="176">
        <f>USD!Y76</f>
        <v>1</v>
      </c>
      <c r="Z75" s="176">
        <f>USD!Z76</f>
        <v>0.9</v>
      </c>
      <c r="AA75" s="176">
        <f>USD!AA76</f>
        <v>0.85</v>
      </c>
    </row>
    <row r="76" spans="15:27" ht="12.75">
      <c r="O76" s="87" t="str">
        <f>USD!O77</f>
        <v>Республика Татарстан (не включая г. Казань)</v>
      </c>
      <c r="P76" s="88">
        <f>USD!P77</f>
        <v>100</v>
      </c>
      <c r="Q76" s="88">
        <f>USD!Q77</f>
        <v>85</v>
      </c>
      <c r="R76" s="176">
        <f>USD!R77</f>
        <v>0.85</v>
      </c>
      <c r="S76" s="176">
        <f>USD!S77</f>
        <v>0.85</v>
      </c>
      <c r="T76" s="176">
        <f>USD!T77</f>
        <v>0.7</v>
      </c>
      <c r="U76" s="176">
        <f>USD!U77</f>
        <v>0.85</v>
      </c>
      <c r="V76" s="176">
        <f>USD!V77</f>
        <v>0.7</v>
      </c>
      <c r="W76" s="176">
        <f>USD!W77</f>
        <v>0.85</v>
      </c>
      <c r="X76" s="176">
        <f>USD!X77</f>
        <v>0.95</v>
      </c>
      <c r="Y76" s="176">
        <f>USD!Y77</f>
        <v>1</v>
      </c>
      <c r="Z76" s="176">
        <f>USD!Z77</f>
        <v>0.9</v>
      </c>
      <c r="AA76" s="176">
        <f>USD!AA77</f>
        <v>0.85</v>
      </c>
    </row>
    <row r="77" spans="15:27" ht="12.75">
      <c r="O77" s="87" t="str">
        <f>USD!O78</f>
        <v>г. Казань</v>
      </c>
      <c r="P77" s="88">
        <f>USD!P78</f>
        <v>100</v>
      </c>
      <c r="Q77" s="88">
        <f>USD!Q78</f>
        <v>85</v>
      </c>
      <c r="R77" s="176">
        <f>USD!R78</f>
        <v>1</v>
      </c>
      <c r="S77" s="176">
        <f>USD!S78</f>
        <v>0.95</v>
      </c>
      <c r="T77" s="176">
        <f>USD!T78</f>
        <v>0.9</v>
      </c>
      <c r="U77" s="176">
        <f>USD!U78</f>
        <v>0.95</v>
      </c>
      <c r="V77" s="176">
        <f>USD!V78</f>
        <v>0.95</v>
      </c>
      <c r="W77" s="176">
        <f>USD!W78</f>
        <v>1</v>
      </c>
      <c r="X77" s="176">
        <f>USD!X78</f>
        <v>0.95</v>
      </c>
      <c r="Y77" s="176">
        <f>USD!Y78</f>
        <v>1</v>
      </c>
      <c r="Z77" s="176">
        <f>USD!Z78</f>
        <v>0.9</v>
      </c>
      <c r="AA77" s="176">
        <f>USD!AA78</f>
        <v>0.85</v>
      </c>
    </row>
    <row r="78" spans="15:27" ht="12.75">
      <c r="O78" s="87" t="str">
        <f>USD!O79</f>
        <v>Ростовская область (не включая г. Ростов-на-Дону)</v>
      </c>
      <c r="P78" s="88">
        <f>USD!P79</f>
        <v>100</v>
      </c>
      <c r="Q78" s="88">
        <f>USD!Q79</f>
        <v>85</v>
      </c>
      <c r="R78" s="176">
        <f>USD!R79</f>
        <v>0.85</v>
      </c>
      <c r="S78" s="176">
        <f>USD!S79</f>
        <v>0.85</v>
      </c>
      <c r="T78" s="176">
        <f>USD!T79</f>
        <v>0.7</v>
      </c>
      <c r="U78" s="176">
        <f>USD!U79</f>
        <v>0.85</v>
      </c>
      <c r="V78" s="176">
        <f>USD!V79</f>
        <v>0.7</v>
      </c>
      <c r="W78" s="176">
        <f>USD!W79</f>
        <v>0.85</v>
      </c>
      <c r="X78" s="176">
        <f>USD!X79</f>
        <v>0.95</v>
      </c>
      <c r="Y78" s="176">
        <f>USD!Y79</f>
        <v>1</v>
      </c>
      <c r="Z78" s="176">
        <f>USD!Z79</f>
        <v>0.9</v>
      </c>
      <c r="AA78" s="176">
        <f>USD!AA79</f>
        <v>0.85</v>
      </c>
    </row>
    <row r="79" spans="15:27" ht="12.75">
      <c r="O79" s="87" t="str">
        <f>USD!O80</f>
        <v>г. Ростов-на-Дону</v>
      </c>
      <c r="P79" s="88">
        <f>USD!P80</f>
        <v>100</v>
      </c>
      <c r="Q79" s="88">
        <f>USD!Q80</f>
        <v>85</v>
      </c>
      <c r="R79" s="176">
        <f>USD!R80</f>
        <v>0.95</v>
      </c>
      <c r="S79" s="176">
        <f>USD!S80</f>
        <v>0.95</v>
      </c>
      <c r="T79" s="176">
        <f>USD!T80</f>
        <v>0.9</v>
      </c>
      <c r="U79" s="176">
        <f>USD!U80</f>
        <v>0.95</v>
      </c>
      <c r="V79" s="176">
        <f>USD!V80</f>
        <v>0.95</v>
      </c>
      <c r="W79" s="176">
        <f>USD!W80</f>
        <v>0.95</v>
      </c>
      <c r="X79" s="176">
        <f>USD!X80</f>
        <v>0.95</v>
      </c>
      <c r="Y79" s="176">
        <f>USD!Y80</f>
        <v>1</v>
      </c>
      <c r="Z79" s="176">
        <f>USD!Z80</f>
        <v>0.9</v>
      </c>
      <c r="AA79" s="176">
        <f>USD!AA80</f>
        <v>0.85</v>
      </c>
    </row>
    <row r="80" spans="15:27" ht="12.75">
      <c r="O80" s="87" t="str">
        <f>USD!O81</f>
        <v>Самарская область (не включая г. Самара и г. Тольятти)</v>
      </c>
      <c r="P80" s="88">
        <f>USD!P81</f>
        <v>100</v>
      </c>
      <c r="Q80" s="88">
        <f>USD!Q81</f>
        <v>85</v>
      </c>
      <c r="R80" s="176">
        <f>USD!R81</f>
        <v>0.85</v>
      </c>
      <c r="S80" s="176">
        <f>USD!S81</f>
        <v>0.85</v>
      </c>
      <c r="T80" s="176">
        <f>USD!T81</f>
        <v>0.7</v>
      </c>
      <c r="U80" s="176">
        <f>USD!U81</f>
        <v>0.85</v>
      </c>
      <c r="V80" s="176">
        <f>USD!V81</f>
        <v>0.7</v>
      </c>
      <c r="W80" s="176">
        <f>USD!W81</f>
        <v>0.85</v>
      </c>
      <c r="X80" s="176">
        <f>USD!X81</f>
        <v>0.95</v>
      </c>
      <c r="Y80" s="176">
        <f>USD!Y81</f>
        <v>1</v>
      </c>
      <c r="Z80" s="176">
        <f>USD!Z81</f>
        <v>0.9</v>
      </c>
      <c r="AA80" s="176">
        <f>USD!AA81</f>
        <v>0.85</v>
      </c>
    </row>
    <row r="81" spans="15:27" ht="12.75">
      <c r="O81" s="87" t="str">
        <f>USD!O82</f>
        <v>г. Самара</v>
      </c>
      <c r="P81" s="88">
        <f>USD!P82</f>
        <v>100</v>
      </c>
      <c r="Q81" s="88">
        <f>USD!Q82</f>
        <v>85</v>
      </c>
      <c r="R81" s="176">
        <f>USD!R82</f>
        <v>1</v>
      </c>
      <c r="S81" s="176">
        <f>USD!S82</f>
        <v>0.95</v>
      </c>
      <c r="T81" s="176">
        <f>USD!T82</f>
        <v>0.9</v>
      </c>
      <c r="U81" s="176">
        <f>USD!U82</f>
        <v>0.95</v>
      </c>
      <c r="V81" s="176">
        <f>USD!V82</f>
        <v>0.95</v>
      </c>
      <c r="W81" s="176">
        <f>USD!W82</f>
        <v>1</v>
      </c>
      <c r="X81" s="176">
        <f>USD!X82</f>
        <v>0.95</v>
      </c>
      <c r="Y81" s="176">
        <f>USD!Y82</f>
        <v>1</v>
      </c>
      <c r="Z81" s="176">
        <f>USD!Z82</f>
        <v>0.9</v>
      </c>
      <c r="AA81" s="176">
        <f>USD!AA82</f>
        <v>0.85</v>
      </c>
    </row>
    <row r="82" spans="15:27" ht="12.75">
      <c r="O82" s="87" t="str">
        <f>USD!O83</f>
        <v>г. Тольятти</v>
      </c>
      <c r="P82" s="88">
        <f>USD!P83</f>
        <v>100</v>
      </c>
      <c r="Q82" s="88">
        <f>USD!Q83</f>
        <v>85</v>
      </c>
      <c r="R82" s="176">
        <f>USD!R83</f>
        <v>0.9</v>
      </c>
      <c r="S82" s="176">
        <f>USD!S83</f>
        <v>0.85</v>
      </c>
      <c r="T82" s="176">
        <f>USD!T83</f>
        <v>0.7</v>
      </c>
      <c r="U82" s="176">
        <f>USD!U83</f>
        <v>0.85</v>
      </c>
      <c r="V82" s="176">
        <f>USD!V83</f>
        <v>0.7</v>
      </c>
      <c r="W82" s="176">
        <f>USD!W83</f>
        <v>0.9</v>
      </c>
      <c r="X82" s="176">
        <f>USD!X83</f>
        <v>0.95</v>
      </c>
      <c r="Y82" s="176">
        <f>USD!Y83</f>
        <v>1</v>
      </c>
      <c r="Z82" s="176">
        <f>USD!Z83</f>
        <v>0.9</v>
      </c>
      <c r="AA82" s="176">
        <f>USD!AA83</f>
        <v>0.85</v>
      </c>
    </row>
    <row r="83" spans="15:27" ht="12.75">
      <c r="O83" s="87" t="str">
        <f>USD!O84</f>
        <v>Саратовская область (включая г. Саратов)</v>
      </c>
      <c r="P83" s="88">
        <f>USD!P84</f>
        <v>100</v>
      </c>
      <c r="Q83" s="88">
        <f>USD!Q84</f>
        <v>85</v>
      </c>
      <c r="R83" s="176">
        <f>USD!R84</f>
        <v>0.85</v>
      </c>
      <c r="S83" s="176">
        <f>USD!S84</f>
        <v>0.85</v>
      </c>
      <c r="T83" s="176">
        <f>USD!T84</f>
        <v>0.7</v>
      </c>
      <c r="U83" s="176">
        <f>USD!U84</f>
        <v>0.85</v>
      </c>
      <c r="V83" s="176">
        <f>USD!V84</f>
        <v>0.7</v>
      </c>
      <c r="W83" s="176">
        <f>USD!W84</f>
        <v>0.85</v>
      </c>
      <c r="X83" s="176">
        <f>USD!X84</f>
        <v>0.95</v>
      </c>
      <c r="Y83" s="176">
        <f>USD!Y84</f>
        <v>1</v>
      </c>
      <c r="Z83" s="176">
        <f>USD!Z84</f>
        <v>0.9</v>
      </c>
      <c r="AA83" s="176">
        <f>USD!AA84</f>
        <v>0.85</v>
      </c>
    </row>
    <row r="84" spans="15:27" ht="12.75">
      <c r="O84" s="87" t="str">
        <f>USD!O85</f>
        <v>Свердловская область (не включая г. Екатеринбург)</v>
      </c>
      <c r="P84" s="88">
        <f>USD!P85</f>
        <v>100</v>
      </c>
      <c r="Q84" s="88">
        <f>USD!Q85</f>
        <v>85</v>
      </c>
      <c r="R84" s="176">
        <f>USD!R85</f>
        <v>0.85</v>
      </c>
      <c r="S84" s="176">
        <f>USD!S85</f>
        <v>0.85</v>
      </c>
      <c r="T84" s="176">
        <f>USD!T85</f>
        <v>0.7</v>
      </c>
      <c r="U84" s="176">
        <f>USD!U85</f>
        <v>0.85</v>
      </c>
      <c r="V84" s="176">
        <f>USD!V85</f>
        <v>0.7</v>
      </c>
      <c r="W84" s="176">
        <f>USD!W85</f>
        <v>0.85</v>
      </c>
      <c r="X84" s="176">
        <f>USD!X85</f>
        <v>0.95</v>
      </c>
      <c r="Y84" s="176">
        <f>USD!Y85</f>
        <v>1</v>
      </c>
      <c r="Z84" s="176">
        <f>USD!Z85</f>
        <v>0.9</v>
      </c>
      <c r="AA84" s="176">
        <f>USD!AA85</f>
        <v>0.85</v>
      </c>
    </row>
    <row r="85" spans="15:27" ht="12.75">
      <c r="O85" s="87" t="str">
        <f>USD!O86</f>
        <v>г. Екатеринбург</v>
      </c>
      <c r="P85" s="88">
        <f>USD!P86</f>
        <v>100</v>
      </c>
      <c r="Q85" s="88">
        <f>USD!Q86</f>
        <v>85</v>
      </c>
      <c r="R85" s="176">
        <f>USD!R86</f>
        <v>1</v>
      </c>
      <c r="S85" s="176">
        <f>USD!S86</f>
        <v>0.95</v>
      </c>
      <c r="T85" s="176">
        <f>USD!T86</f>
        <v>0.9</v>
      </c>
      <c r="U85" s="176">
        <f>USD!U86</f>
        <v>0.95</v>
      </c>
      <c r="V85" s="176">
        <f>USD!V86</f>
        <v>0.95</v>
      </c>
      <c r="W85" s="176">
        <f>USD!W86</f>
        <v>1</v>
      </c>
      <c r="X85" s="176">
        <f>USD!X86</f>
        <v>0.95</v>
      </c>
      <c r="Y85" s="176">
        <f>USD!Y86</f>
        <v>1</v>
      </c>
      <c r="Z85" s="176">
        <f>USD!Z86</f>
        <v>0.9</v>
      </c>
      <c r="AA85" s="176">
        <f>USD!AA86</f>
        <v>0.85</v>
      </c>
    </row>
    <row r="86" spans="15:27" ht="12.75">
      <c r="O86" s="87" t="str">
        <f>USD!O87</f>
        <v>Смоленская область (не включая г. Смоленск)</v>
      </c>
      <c r="P86" s="88">
        <f>USD!P87</f>
        <v>100</v>
      </c>
      <c r="Q86" s="88">
        <f>USD!Q87</f>
        <v>85</v>
      </c>
      <c r="R86" s="176">
        <f>USD!R87</f>
        <v>0.85</v>
      </c>
      <c r="S86" s="176">
        <f>USD!S87</f>
        <v>0.85</v>
      </c>
      <c r="T86" s="176">
        <f>USD!T87</f>
        <v>0.7</v>
      </c>
      <c r="U86" s="176">
        <f>USD!U87</f>
        <v>0.85</v>
      </c>
      <c r="V86" s="176">
        <f>USD!V87</f>
        <v>0.7</v>
      </c>
      <c r="W86" s="176">
        <f>USD!W87</f>
        <v>0.85</v>
      </c>
      <c r="X86" s="176">
        <f>USD!X87</f>
        <v>0.95</v>
      </c>
      <c r="Y86" s="176">
        <f>USD!Y87</f>
        <v>1</v>
      </c>
      <c r="Z86" s="176">
        <f>USD!Z87</f>
        <v>0.9</v>
      </c>
      <c r="AA86" s="176">
        <f>USD!AA87</f>
        <v>0.85</v>
      </c>
    </row>
    <row r="87" spans="15:27" ht="12.75">
      <c r="O87" s="87" t="str">
        <f>USD!O88</f>
        <v>г. Смоленск</v>
      </c>
      <c r="P87" s="88">
        <f>USD!P88</f>
        <v>100</v>
      </c>
      <c r="Q87" s="88">
        <f>USD!Q88</f>
        <v>85</v>
      </c>
      <c r="R87" s="176">
        <f>USD!R88</f>
        <v>0.9</v>
      </c>
      <c r="S87" s="176">
        <f>USD!S88</f>
        <v>0.85</v>
      </c>
      <c r="T87" s="176">
        <f>USD!T88</f>
        <v>0.7</v>
      </c>
      <c r="U87" s="176">
        <f>USD!U88</f>
        <v>0.85</v>
      </c>
      <c r="V87" s="176">
        <f>USD!V88</f>
        <v>0.7</v>
      </c>
      <c r="W87" s="176">
        <f>USD!W88</f>
        <v>0.9</v>
      </c>
      <c r="X87" s="176">
        <f>USD!X88</f>
        <v>0.95</v>
      </c>
      <c r="Y87" s="176">
        <f>USD!Y88</f>
        <v>1</v>
      </c>
      <c r="Z87" s="176">
        <f>USD!Z88</f>
        <v>0.9</v>
      </c>
      <c r="AA87" s="176">
        <f>USD!AA88</f>
        <v>0.85</v>
      </c>
    </row>
    <row r="88" spans="15:27" ht="12.75">
      <c r="O88" s="87" t="str">
        <f>USD!O89</f>
        <v>Тульская область (не включая г. Тула и г. Новомосковск)</v>
      </c>
      <c r="P88" s="88">
        <f>USD!P89</f>
        <v>100</v>
      </c>
      <c r="Q88" s="88">
        <f>USD!Q89</f>
        <v>85</v>
      </c>
      <c r="R88" s="176">
        <f>USD!R89</f>
        <v>0.85</v>
      </c>
      <c r="S88" s="176">
        <f>USD!S89</f>
        <v>0.85</v>
      </c>
      <c r="T88" s="176">
        <f>USD!T89</f>
        <v>0.7</v>
      </c>
      <c r="U88" s="176">
        <f>USD!U89</f>
        <v>0.85</v>
      </c>
      <c r="V88" s="176">
        <f>USD!V89</f>
        <v>0.7</v>
      </c>
      <c r="W88" s="176">
        <f>USD!W89</f>
        <v>0.85</v>
      </c>
      <c r="X88" s="176">
        <f>USD!X89</f>
        <v>0.95</v>
      </c>
      <c r="Y88" s="176">
        <f>USD!Y89</f>
        <v>1</v>
      </c>
      <c r="Z88" s="176">
        <f>USD!Z89</f>
        <v>0.9</v>
      </c>
      <c r="AA88" s="176">
        <f>USD!AA89</f>
        <v>0.85</v>
      </c>
    </row>
    <row r="89" spans="15:27" ht="12.75">
      <c r="O89" s="87" t="str">
        <f>USD!O90</f>
        <v>г. Тула</v>
      </c>
      <c r="P89" s="88">
        <f>USD!P90</f>
        <v>100</v>
      </c>
      <c r="Q89" s="88">
        <f>USD!Q90</f>
        <v>85</v>
      </c>
      <c r="R89" s="176">
        <f>USD!R90</f>
        <v>0.9</v>
      </c>
      <c r="S89" s="176">
        <f>USD!S90</f>
        <v>0.85</v>
      </c>
      <c r="T89" s="176">
        <f>USD!T90</f>
        <v>0.7</v>
      </c>
      <c r="U89" s="176">
        <f>USD!U90</f>
        <v>0.85</v>
      </c>
      <c r="V89" s="176">
        <f>USD!V90</f>
        <v>0.7</v>
      </c>
      <c r="W89" s="176">
        <f>USD!W90</f>
        <v>0.9</v>
      </c>
      <c r="X89" s="176">
        <f>USD!X90</f>
        <v>0.95</v>
      </c>
      <c r="Y89" s="176">
        <f>USD!Y90</f>
        <v>1</v>
      </c>
      <c r="Z89" s="176">
        <f>USD!Z90</f>
        <v>0.9</v>
      </c>
      <c r="AA89" s="176">
        <f>USD!AA90</f>
        <v>0.85</v>
      </c>
    </row>
    <row r="90" spans="15:27" ht="12.75">
      <c r="O90" s="87" t="str">
        <f>USD!O91</f>
        <v>г. Новомосковск</v>
      </c>
      <c r="P90" s="88">
        <f>USD!P91</f>
        <v>100</v>
      </c>
      <c r="Q90" s="88">
        <f>USD!Q91</f>
        <v>85</v>
      </c>
      <c r="R90" s="176">
        <f>USD!R91</f>
        <v>0.9</v>
      </c>
      <c r="S90" s="176">
        <f>USD!S91</f>
        <v>0.85</v>
      </c>
      <c r="T90" s="176">
        <f>USD!T91</f>
        <v>0.7</v>
      </c>
      <c r="U90" s="176">
        <f>USD!U91</f>
        <v>0.85</v>
      </c>
      <c r="V90" s="176">
        <f>USD!V91</f>
        <v>0.7</v>
      </c>
      <c r="W90" s="176">
        <f>USD!W91</f>
        <v>0.9</v>
      </c>
      <c r="X90" s="176">
        <f>USD!X91</f>
        <v>0.95</v>
      </c>
      <c r="Y90" s="176">
        <f>USD!Y91</f>
        <v>1</v>
      </c>
      <c r="Z90" s="176">
        <f>USD!Z91</f>
        <v>0.9</v>
      </c>
      <c r="AA90" s="176">
        <f>USD!AA91</f>
        <v>0.85</v>
      </c>
    </row>
    <row r="91" spans="15:27" ht="12.75">
      <c r="O91" s="87" t="str">
        <f>USD!O92</f>
        <v>Тверская область (включая г. Тверь)</v>
      </c>
      <c r="P91" s="88">
        <f>USD!P92</f>
        <v>100</v>
      </c>
      <c r="Q91" s="88">
        <f>USD!Q92</f>
        <v>85</v>
      </c>
      <c r="R91" s="176">
        <f>USD!R92</f>
        <v>0.85</v>
      </c>
      <c r="S91" s="176">
        <f>USD!S92</f>
        <v>0.85</v>
      </c>
      <c r="T91" s="176">
        <f>USD!T92</f>
        <v>0.7</v>
      </c>
      <c r="U91" s="176">
        <f>USD!U92</f>
        <v>0.85</v>
      </c>
      <c r="V91" s="176">
        <f>USD!V92</f>
        <v>0.7</v>
      </c>
      <c r="W91" s="176">
        <f>USD!W92</f>
        <v>0.85</v>
      </c>
      <c r="X91" s="176">
        <f>USD!X92</f>
        <v>0.95</v>
      </c>
      <c r="Y91" s="176">
        <f>USD!Y92</f>
        <v>1</v>
      </c>
      <c r="Z91" s="176">
        <f>USD!Z92</f>
        <v>0.9</v>
      </c>
      <c r="AA91" s="176">
        <f>USD!AA92</f>
        <v>0.85</v>
      </c>
    </row>
    <row r="92" spans="15:27" ht="12.75">
      <c r="O92" s="87" t="str">
        <f>USD!O93</f>
        <v>Томская область (не включая г. Томск)</v>
      </c>
      <c r="P92" s="88">
        <f>USD!P93</f>
        <v>100</v>
      </c>
      <c r="Q92" s="88">
        <f>USD!Q93</f>
        <v>85</v>
      </c>
      <c r="R92" s="176">
        <f>USD!R93</f>
        <v>0.85</v>
      </c>
      <c r="S92" s="176">
        <f>USD!S93</f>
        <v>0.85</v>
      </c>
      <c r="T92" s="176">
        <f>USD!T93</f>
        <v>0.7</v>
      </c>
      <c r="U92" s="176">
        <f>USD!U93</f>
        <v>0.85</v>
      </c>
      <c r="V92" s="176">
        <f>USD!V93</f>
        <v>0.7</v>
      </c>
      <c r="W92" s="176">
        <f>USD!W93</f>
        <v>0.85</v>
      </c>
      <c r="X92" s="176">
        <f>USD!X93</f>
        <v>0.95</v>
      </c>
      <c r="Y92" s="176">
        <f>USD!Y93</f>
        <v>1</v>
      </c>
      <c r="Z92" s="176">
        <f>USD!Z93</f>
        <v>0.9</v>
      </c>
      <c r="AA92" s="176">
        <f>USD!AA93</f>
        <v>0.85</v>
      </c>
    </row>
    <row r="93" spans="15:27" ht="12.75">
      <c r="O93" s="87" t="str">
        <f>USD!O94</f>
        <v>г. Томск</v>
      </c>
      <c r="P93" s="88">
        <f>USD!P94</f>
        <v>100</v>
      </c>
      <c r="Q93" s="88">
        <f>USD!Q94</f>
        <v>85</v>
      </c>
      <c r="R93" s="176">
        <f>USD!R94</f>
        <v>0.9</v>
      </c>
      <c r="S93" s="176">
        <f>USD!S94</f>
        <v>0.85</v>
      </c>
      <c r="T93" s="176">
        <f>USD!T94</f>
        <v>0.7</v>
      </c>
      <c r="U93" s="176">
        <f>USD!U94</f>
        <v>0.85</v>
      </c>
      <c r="V93" s="176">
        <f>USD!V94</f>
        <v>0.7</v>
      </c>
      <c r="W93" s="176">
        <f>USD!W94</f>
        <v>0.9</v>
      </c>
      <c r="X93" s="176">
        <f>USD!X94</f>
        <v>0.95</v>
      </c>
      <c r="Y93" s="176">
        <f>USD!Y94</f>
        <v>1</v>
      </c>
      <c r="Z93" s="176">
        <f>USD!Z94</f>
        <v>0.9</v>
      </c>
      <c r="AA93" s="176">
        <f>USD!AA94</f>
        <v>0.85</v>
      </c>
    </row>
    <row r="94" spans="15:27" ht="12.75">
      <c r="O94" s="87" t="str">
        <f>USD!O95</f>
        <v>Тюменская область (не включая г. Тюмень)</v>
      </c>
      <c r="P94" s="88">
        <f>USD!P95</f>
        <v>100</v>
      </c>
      <c r="Q94" s="88">
        <f>USD!Q95</f>
        <v>85</v>
      </c>
      <c r="R94" s="176">
        <f>USD!R95</f>
        <v>0.85</v>
      </c>
      <c r="S94" s="176">
        <f>USD!S95</f>
        <v>0.85</v>
      </c>
      <c r="T94" s="176">
        <f>USD!T95</f>
        <v>0.7</v>
      </c>
      <c r="U94" s="176">
        <f>USD!U95</f>
        <v>0.85</v>
      </c>
      <c r="V94" s="176">
        <f>USD!V95</f>
        <v>0.7</v>
      </c>
      <c r="W94" s="176">
        <f>USD!W95</f>
        <v>0.85</v>
      </c>
      <c r="X94" s="176">
        <f>USD!X95</f>
        <v>0.95</v>
      </c>
      <c r="Y94" s="176">
        <f>USD!Y95</f>
        <v>1</v>
      </c>
      <c r="Z94" s="176">
        <f>USD!Z95</f>
        <v>0.9</v>
      </c>
      <c r="AA94" s="176">
        <f>USD!AA95</f>
        <v>0.85</v>
      </c>
    </row>
    <row r="95" spans="15:27" ht="12.75">
      <c r="O95" s="87" t="str">
        <f>USD!O96</f>
        <v>г. Тюмень</v>
      </c>
      <c r="P95" s="88">
        <f>USD!P96</f>
        <v>100</v>
      </c>
      <c r="Q95" s="88">
        <f>USD!Q96</f>
        <v>85</v>
      </c>
      <c r="R95" s="176">
        <f>USD!R96</f>
        <v>0.95</v>
      </c>
      <c r="S95" s="176">
        <f>USD!S96</f>
        <v>0.95</v>
      </c>
      <c r="T95" s="176">
        <f>USD!T96</f>
        <v>0.9</v>
      </c>
      <c r="U95" s="176">
        <f>USD!U96</f>
        <v>0.95</v>
      </c>
      <c r="V95" s="176">
        <f>USD!V96</f>
        <v>0.95</v>
      </c>
      <c r="W95" s="176">
        <f>USD!W96</f>
        <v>0.95</v>
      </c>
      <c r="X95" s="176">
        <f>USD!X96</f>
        <v>0.95</v>
      </c>
      <c r="Y95" s="176">
        <f>USD!Y96</f>
        <v>1</v>
      </c>
      <c r="Z95" s="176">
        <f>USD!Z96</f>
        <v>0.9</v>
      </c>
      <c r="AA95" s="176">
        <f>USD!AA96</f>
        <v>0.85</v>
      </c>
    </row>
    <row r="96" spans="15:27" ht="12.75">
      <c r="O96" s="87" t="str">
        <f>USD!O97</f>
        <v>Ульяновская область (не включая г. Ульяновск)</v>
      </c>
      <c r="P96" s="88">
        <f>USD!P97</f>
        <v>100</v>
      </c>
      <c r="Q96" s="88">
        <f>USD!Q97</f>
        <v>85</v>
      </c>
      <c r="R96" s="176">
        <f>USD!R97</f>
        <v>0.85</v>
      </c>
      <c r="S96" s="176">
        <f>USD!S97</f>
        <v>0.85</v>
      </c>
      <c r="T96" s="176">
        <f>USD!T97</f>
        <v>0.7</v>
      </c>
      <c r="U96" s="176">
        <f>USD!U97</f>
        <v>0.85</v>
      </c>
      <c r="V96" s="176">
        <f>USD!V97</f>
        <v>0.7</v>
      </c>
      <c r="W96" s="176">
        <f>USD!W97</f>
        <v>0.85</v>
      </c>
      <c r="X96" s="176">
        <f>USD!X97</f>
        <v>0.95</v>
      </c>
      <c r="Y96" s="176">
        <f>USD!Y97</f>
        <v>1</v>
      </c>
      <c r="Z96" s="176">
        <f>USD!Z97</f>
        <v>0.9</v>
      </c>
      <c r="AA96" s="176">
        <f>USD!AA97</f>
        <v>0.85</v>
      </c>
    </row>
    <row r="97" spans="15:27" ht="12.75">
      <c r="O97" s="87" t="str">
        <f>USD!O98</f>
        <v>г. Ульяновск</v>
      </c>
      <c r="P97" s="88">
        <f>USD!P98</f>
        <v>100</v>
      </c>
      <c r="Q97" s="88">
        <f>USD!Q98</f>
        <v>85</v>
      </c>
      <c r="R97" s="176">
        <f>USD!R98</f>
        <v>0.9</v>
      </c>
      <c r="S97" s="176">
        <f>USD!S98</f>
        <v>0.85</v>
      </c>
      <c r="T97" s="176">
        <f>USD!T98</f>
        <v>0.7</v>
      </c>
      <c r="U97" s="176">
        <f>USD!U98</f>
        <v>0.85</v>
      </c>
      <c r="V97" s="176">
        <f>USD!V98</f>
        <v>0.7</v>
      </c>
      <c r="W97" s="176">
        <f>USD!W98</f>
        <v>0.9</v>
      </c>
      <c r="X97" s="176">
        <f>USD!X98</f>
        <v>0.95</v>
      </c>
      <c r="Y97" s="176">
        <f>USD!Y98</f>
        <v>1</v>
      </c>
      <c r="Z97" s="176">
        <f>USD!Z98</f>
        <v>0.9</v>
      </c>
      <c r="AA97" s="176">
        <f>USD!AA98</f>
        <v>0.85</v>
      </c>
    </row>
    <row r="98" spans="15:27" ht="12.75">
      <c r="O98" s="87" t="str">
        <f>USD!O99</f>
        <v>Хабаровский край (не включая г. Хабаровск)</v>
      </c>
      <c r="P98" s="88">
        <f>USD!P99</f>
        <v>120</v>
      </c>
      <c r="Q98" s="88">
        <f>USD!Q99</f>
        <v>100</v>
      </c>
      <c r="R98" s="176">
        <f>USD!R99</f>
        <v>0.85</v>
      </c>
      <c r="S98" s="176">
        <f>USD!S99</f>
        <v>0.85</v>
      </c>
      <c r="T98" s="176">
        <f>USD!T99</f>
        <v>0.7</v>
      </c>
      <c r="U98" s="176">
        <f>USD!U99</f>
        <v>0.85</v>
      </c>
      <c r="V98" s="176">
        <f>USD!V99</f>
        <v>0.7</v>
      </c>
      <c r="W98" s="176">
        <f>USD!W99</f>
        <v>0.85</v>
      </c>
      <c r="X98" s="176">
        <f>USD!X99</f>
        <v>0.95</v>
      </c>
      <c r="Y98" s="176">
        <f>USD!Y99</f>
        <v>1</v>
      </c>
      <c r="Z98" s="176">
        <f>USD!Z99</f>
        <v>0.9</v>
      </c>
      <c r="AA98" s="176">
        <f>USD!AA99</f>
        <v>0.85</v>
      </c>
    </row>
    <row r="99" spans="15:27" ht="12.75">
      <c r="O99" s="87" t="str">
        <f>USD!O100</f>
        <v>г. Хабаровск</v>
      </c>
      <c r="P99" s="88">
        <f>USD!P100</f>
        <v>120</v>
      </c>
      <c r="Q99" s="88">
        <f>USD!Q100</f>
        <v>100</v>
      </c>
      <c r="R99" s="176">
        <f>USD!R100</f>
        <v>0.95</v>
      </c>
      <c r="S99" s="176">
        <f>USD!S100</f>
        <v>0.95</v>
      </c>
      <c r="T99" s="176">
        <f>USD!T100</f>
        <v>0.9</v>
      </c>
      <c r="U99" s="176">
        <f>USD!U100</f>
        <v>0.95</v>
      </c>
      <c r="V99" s="176">
        <f>USD!V100</f>
        <v>0.95</v>
      </c>
      <c r="W99" s="176">
        <f>USD!W100</f>
        <v>0.95</v>
      </c>
      <c r="X99" s="176">
        <f>USD!X100</f>
        <v>0.95</v>
      </c>
      <c r="Y99" s="176">
        <f>USD!Y100</f>
        <v>1</v>
      </c>
      <c r="Z99" s="176">
        <f>USD!Z100</f>
        <v>0.9</v>
      </c>
      <c r="AA99" s="176">
        <f>USD!AA100</f>
        <v>0.85</v>
      </c>
    </row>
    <row r="100" spans="15:27" ht="12.75">
      <c r="O100" s="87" t="str">
        <f>USD!O101</f>
        <v>Челябинская область (не включая г. Челябинск)</v>
      </c>
      <c r="P100" s="88">
        <f>USD!P101</f>
        <v>100</v>
      </c>
      <c r="Q100" s="88">
        <f>USD!Q101</f>
        <v>85</v>
      </c>
      <c r="R100" s="176">
        <f>USD!R101</f>
        <v>0.85</v>
      </c>
      <c r="S100" s="176">
        <f>USD!S101</f>
        <v>0.85</v>
      </c>
      <c r="T100" s="176">
        <f>USD!T101</f>
        <v>0.7</v>
      </c>
      <c r="U100" s="176">
        <f>USD!U101</f>
        <v>0.85</v>
      </c>
      <c r="V100" s="176">
        <f>USD!V101</f>
        <v>0.7</v>
      </c>
      <c r="W100" s="176">
        <f>USD!W101</f>
        <v>0.85</v>
      </c>
      <c r="X100" s="176">
        <f>USD!X101</f>
        <v>0.95</v>
      </c>
      <c r="Y100" s="176">
        <f>USD!Y101</f>
        <v>1</v>
      </c>
      <c r="Z100" s="176">
        <f>USD!Z101</f>
        <v>0.9</v>
      </c>
      <c r="AA100" s="176">
        <f>USD!AA101</f>
        <v>0.85</v>
      </c>
    </row>
    <row r="101" spans="15:27" ht="12.75">
      <c r="O101" s="87" t="str">
        <f>USD!O102</f>
        <v>г. Челябинск</v>
      </c>
      <c r="P101" s="88">
        <f>USD!P102</f>
        <v>100</v>
      </c>
      <c r="Q101" s="88">
        <f>USD!Q102</f>
        <v>85</v>
      </c>
      <c r="R101" s="176">
        <f>USD!R102</f>
        <v>0.9</v>
      </c>
      <c r="S101" s="176">
        <f>USD!S102</f>
        <v>0.85</v>
      </c>
      <c r="T101" s="176">
        <f>USD!T102</f>
        <v>0.7</v>
      </c>
      <c r="U101" s="176">
        <f>USD!U102</f>
        <v>0.85</v>
      </c>
      <c r="V101" s="176">
        <f>USD!V102</f>
        <v>0.7</v>
      </c>
      <c r="W101" s="176">
        <f>USD!W102</f>
        <v>0.9</v>
      </c>
      <c r="X101" s="176">
        <f>USD!X102</f>
        <v>0.95</v>
      </c>
      <c r="Y101" s="176">
        <f>USD!Y102</f>
        <v>1</v>
      </c>
      <c r="Z101" s="176">
        <f>USD!Z102</f>
        <v>0.9</v>
      </c>
      <c r="AA101" s="176">
        <f>USD!AA102</f>
        <v>0.85</v>
      </c>
    </row>
    <row r="102" spans="15:27" ht="12.75">
      <c r="O102" s="87" t="str">
        <f>USD!O103</f>
        <v>Чувашская республика (включая г. Чебоксары)</v>
      </c>
      <c r="P102" s="88">
        <f>USD!P103</f>
        <v>100</v>
      </c>
      <c r="Q102" s="88">
        <f>USD!Q103</f>
        <v>85</v>
      </c>
      <c r="R102" s="176">
        <f>USD!R103</f>
        <v>0.85</v>
      </c>
      <c r="S102" s="176">
        <f>USD!S103</f>
        <v>0.85</v>
      </c>
      <c r="T102" s="176">
        <f>USD!T103</f>
        <v>0.7</v>
      </c>
      <c r="U102" s="176">
        <f>USD!U103</f>
        <v>0.85</v>
      </c>
      <c r="V102" s="176">
        <f>USD!V103</f>
        <v>0.7</v>
      </c>
      <c r="W102" s="176">
        <f>USD!W103</f>
        <v>0.85</v>
      </c>
      <c r="X102" s="176">
        <f>USD!X103</f>
        <v>0.95</v>
      </c>
      <c r="Y102" s="176">
        <f>USD!Y103</f>
        <v>1</v>
      </c>
      <c r="Z102" s="176">
        <f>USD!Z103</f>
        <v>0.9</v>
      </c>
      <c r="AA102" s="176">
        <f>USD!AA103</f>
        <v>0.85</v>
      </c>
    </row>
    <row r="103" spans="15:27" ht="12.75">
      <c r="O103" s="87" t="str">
        <f>USD!O104</f>
        <v>Ярославская область (не включая г. Ярославль)</v>
      </c>
      <c r="P103" s="88">
        <f>USD!P104</f>
        <v>100</v>
      </c>
      <c r="Q103" s="88">
        <f>USD!Q104</f>
        <v>85</v>
      </c>
      <c r="R103" s="176">
        <f>USD!R104</f>
        <v>0.85</v>
      </c>
      <c r="S103" s="176">
        <f>USD!S104</f>
        <v>0.85</v>
      </c>
      <c r="T103" s="176">
        <f>USD!T104</f>
        <v>0.7</v>
      </c>
      <c r="U103" s="176">
        <f>USD!U104</f>
        <v>0.85</v>
      </c>
      <c r="V103" s="176">
        <f>USD!V104</f>
        <v>0.7</v>
      </c>
      <c r="W103" s="176">
        <f>USD!W104</f>
        <v>0.85</v>
      </c>
      <c r="X103" s="176">
        <f>USD!X104</f>
        <v>0.95</v>
      </c>
      <c r="Y103" s="176">
        <f>USD!Y104</f>
        <v>1</v>
      </c>
      <c r="Z103" s="176">
        <f>USD!Z104</f>
        <v>0.9</v>
      </c>
      <c r="AA103" s="176">
        <f>USD!AA104</f>
        <v>0.85</v>
      </c>
    </row>
    <row r="104" spans="15:27" ht="12.75">
      <c r="O104" s="87" t="str">
        <f>USD!O105</f>
        <v>г. Ярославль</v>
      </c>
      <c r="P104" s="88">
        <f>USD!P105</f>
        <v>100</v>
      </c>
      <c r="Q104" s="88">
        <f>USD!Q105</f>
        <v>85</v>
      </c>
      <c r="R104" s="176">
        <f>USD!R105</f>
        <v>0.9</v>
      </c>
      <c r="S104" s="176">
        <f>USD!S105</f>
        <v>0.85</v>
      </c>
      <c r="T104" s="176">
        <f>USD!T105</f>
        <v>0.7</v>
      </c>
      <c r="U104" s="176">
        <f>USD!U105</f>
        <v>0.85</v>
      </c>
      <c r="V104" s="176">
        <f>USD!V105</f>
        <v>0.7</v>
      </c>
      <c r="W104" s="176">
        <f>USD!W105</f>
        <v>0.9</v>
      </c>
      <c r="X104" s="176">
        <f>USD!X105</f>
        <v>0.95</v>
      </c>
      <c r="Y104" s="176">
        <f>USD!Y105</f>
        <v>1</v>
      </c>
      <c r="Z104" s="176">
        <f>USD!Z105</f>
        <v>0.9</v>
      </c>
      <c r="AA104" s="176">
        <f>USD!AA105</f>
        <v>0.85</v>
      </c>
    </row>
  </sheetData>
  <sheetProtection password="84F1" sheet="1" objects="1" scenarios="1"/>
  <mergeCells count="13">
    <mergeCell ref="U25:V25"/>
    <mergeCell ref="W25:X25"/>
    <mergeCell ref="Y25:AA25"/>
    <mergeCell ref="B2:H2"/>
    <mergeCell ref="I6:J6"/>
    <mergeCell ref="E6:H6"/>
    <mergeCell ref="I5:J5"/>
    <mergeCell ref="A4:B4"/>
    <mergeCell ref="A5:B5"/>
    <mergeCell ref="I4:J4"/>
    <mergeCell ref="A6:B6"/>
    <mergeCell ref="E4:H4"/>
    <mergeCell ref="E5:H5"/>
  </mergeCells>
  <dataValidations count="4">
    <dataValidation type="whole" operator="lessThanOrEqual" allowBlank="1" showErrorMessage="1" promptTitle="ошибка " errorTitle="Ошибка ввода" error="Срок кредита не может быть более 25 лет." sqref="C4">
      <formula1>25</formula1>
    </dataValidation>
    <dataValidation operator="lessThanOrEqual" allowBlank="1" showInputMessage="1" showErrorMessage="1" sqref="B9 D11"/>
    <dataValidation type="whole" allowBlank="1" showErrorMessage="1" promptTitle="Срок строительства" prompt="Срок строительства не может быть больше 36 месяцев" errorTitle="Срок строительства" error="Срок строительства не может быть больше 36 месяцев" sqref="C6">
      <formula1>0</formula1>
      <formula2>60</formula2>
    </dataValidation>
    <dataValidation type="list" allowBlank="1" showInputMessage="1" showErrorMessage="1" sqref="B2:H2">
      <formula1>$O$27:$O$104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104"/>
  <sheetViews>
    <sheetView workbookViewId="0" topLeftCell="A1">
      <selection activeCell="AI19" sqref="AI19"/>
    </sheetView>
  </sheetViews>
  <sheetFormatPr defaultColWidth="9.00390625" defaultRowHeight="12.75"/>
  <cols>
    <col min="1" max="1" width="20.875" style="36" bestFit="1" customWidth="1"/>
    <col min="2" max="2" width="16.75390625" style="91" customWidth="1"/>
    <col min="3" max="3" width="5.75390625" style="91" customWidth="1"/>
    <col min="4" max="4" width="16.75390625" style="91" customWidth="1"/>
    <col min="5" max="5" width="5.75390625" style="91" customWidth="1"/>
    <col min="6" max="6" width="16.75390625" style="91" customWidth="1"/>
    <col min="7" max="7" width="5.75390625" style="91" customWidth="1"/>
    <col min="8" max="8" width="16.75390625" style="91" customWidth="1"/>
    <col min="9" max="9" width="5.75390625" style="91" customWidth="1"/>
    <col min="10" max="10" width="16.75390625" style="91" customWidth="1"/>
    <col min="11" max="11" width="9.125" style="91" customWidth="1"/>
    <col min="12" max="12" width="21.125" style="91" bestFit="1" customWidth="1"/>
    <col min="13" max="13" width="10.00390625" style="91" customWidth="1"/>
    <col min="14" max="16" width="11.625" style="91" hidden="1" customWidth="1"/>
    <col min="17" max="19" width="9.875" style="91" hidden="1" customWidth="1"/>
    <col min="20" max="21" width="0" style="91" hidden="1" customWidth="1"/>
    <col min="22" max="23" width="9.875" style="91" hidden="1" customWidth="1"/>
    <col min="24" max="27" width="0" style="91" hidden="1" customWidth="1"/>
    <col min="28" max="16384" width="9.125" style="91" customWidth="1"/>
  </cols>
  <sheetData>
    <row r="1" ht="13.5" thickBot="1"/>
    <row r="2" spans="1:15" ht="17.25" thickBot="1" thickTop="1">
      <c r="A2" s="31" t="s">
        <v>26</v>
      </c>
      <c r="B2" s="200" t="s">
        <v>115</v>
      </c>
      <c r="C2" s="201"/>
      <c r="D2" s="201"/>
      <c r="E2" s="201"/>
      <c r="F2" s="201"/>
      <c r="G2" s="201"/>
      <c r="H2" s="202"/>
      <c r="I2" s="99"/>
      <c r="J2" s="32">
        <f>O2</f>
        <v>100</v>
      </c>
      <c r="N2" s="2"/>
      <c r="O2" s="7">
        <f>IF(C5&gt;=USD!V114,O6,O5)</f>
        <v>100</v>
      </c>
    </row>
    <row r="3" spans="14:15" ht="14.25" thickBot="1" thickTop="1">
      <c r="N3" s="2"/>
      <c r="O3" s="2">
        <f>VLOOKUP(B2,O27:T104,6,FALSE)</f>
        <v>0.7</v>
      </c>
    </row>
    <row r="4" spans="1:15" ht="17.25" thickBot="1" thickTop="1">
      <c r="A4" s="194" t="s">
        <v>0</v>
      </c>
      <c r="B4" s="195"/>
      <c r="C4" s="33">
        <v>5</v>
      </c>
      <c r="D4" s="54" t="s">
        <v>1</v>
      </c>
      <c r="E4" s="54"/>
      <c r="F4" s="54"/>
      <c r="G4" s="220" t="s">
        <v>2</v>
      </c>
      <c r="H4" s="221"/>
      <c r="I4" s="205">
        <f>IF(C4&lt;=USD!O136,USD!R136,USD!R137)</f>
        <v>0.12</v>
      </c>
      <c r="J4" s="193"/>
      <c r="N4" s="2"/>
      <c r="O4" s="2"/>
    </row>
    <row r="5" spans="1:15" ht="17.25" thickBot="1" thickTop="1">
      <c r="A5" s="203" t="s">
        <v>3</v>
      </c>
      <c r="B5" s="219"/>
      <c r="C5" s="33">
        <v>2</v>
      </c>
      <c r="E5" s="55"/>
      <c r="F5" s="93"/>
      <c r="G5" s="70"/>
      <c r="H5" s="70"/>
      <c r="N5" s="2"/>
      <c r="O5" s="7">
        <f>VLOOKUP(B2,O27:P104,2,FALSE)</f>
        <v>100</v>
      </c>
    </row>
    <row r="6" spans="1:15" ht="16.5" thickTop="1">
      <c r="A6" s="74"/>
      <c r="B6" s="92"/>
      <c r="C6" s="100"/>
      <c r="E6" s="55"/>
      <c r="F6" s="93"/>
      <c r="G6" s="70"/>
      <c r="H6" s="70"/>
      <c r="N6" s="7">
        <f>O2*C5</f>
        <v>200</v>
      </c>
      <c r="O6" s="7">
        <f>VLOOKUP(B2,O27:Q104,3,FALSE)</f>
        <v>85</v>
      </c>
    </row>
    <row r="7" spans="2:10" ht="25.5">
      <c r="B7" s="27" t="s">
        <v>4</v>
      </c>
      <c r="D7" s="27" t="s">
        <v>5</v>
      </c>
      <c r="F7" s="27" t="s">
        <v>6</v>
      </c>
      <c r="H7" s="27" t="s">
        <v>7</v>
      </c>
      <c r="J7" s="27" t="s">
        <v>8</v>
      </c>
    </row>
    <row r="8" spans="2:8" ht="13.5" customHeight="1" thickBot="1">
      <c r="B8" s="56"/>
      <c r="D8" s="56"/>
      <c r="F8" s="56"/>
      <c r="H8" s="56"/>
    </row>
    <row r="9" spans="1:10" ht="27" customHeight="1" thickBot="1" thickTop="1">
      <c r="A9" s="31" t="s">
        <v>9</v>
      </c>
      <c r="B9" s="39">
        <v>556284</v>
      </c>
      <c r="C9" s="28"/>
      <c r="D9" s="41">
        <f>D11/$O$3</f>
        <v>642214.2857142858</v>
      </c>
      <c r="E9" s="28"/>
      <c r="F9" s="41">
        <f>F11/$O$3</f>
        <v>642214.2857142858</v>
      </c>
      <c r="G9" s="28"/>
      <c r="H9" s="41">
        <f>H11/$O$3</f>
        <v>333771.4285714286</v>
      </c>
      <c r="I9" s="28"/>
      <c r="J9" s="42">
        <f>J17/(1-O3)</f>
        <v>278143.3333333333</v>
      </c>
    </row>
    <row r="10" spans="2:10" ht="13.5" customHeight="1" thickBot="1" thickTop="1">
      <c r="B10" s="28"/>
      <c r="C10" s="28"/>
      <c r="D10" s="28"/>
      <c r="E10" s="28"/>
      <c r="F10" s="28"/>
      <c r="G10" s="28"/>
      <c r="H10" s="28"/>
      <c r="I10" s="28"/>
      <c r="J10" s="28"/>
    </row>
    <row r="11" spans="1:23" ht="27" customHeight="1" thickBot="1" thickTop="1">
      <c r="A11" s="31" t="s">
        <v>10</v>
      </c>
      <c r="B11" s="43">
        <f>B9*O3</f>
        <v>389398.8</v>
      </c>
      <c r="C11" s="96"/>
      <c r="D11" s="44">
        <v>449550</v>
      </c>
      <c r="E11" s="28"/>
      <c r="F11" s="43">
        <f>ROUND(F13/(($I$4/12)/(1-(1+($I$4/12))^-($C$4*12))),0)</f>
        <v>449550</v>
      </c>
      <c r="G11" s="28"/>
      <c r="H11" s="43">
        <f>ROUND(H13/(($I$4/12)/(1-(1+($I$4/12))^-($C$4*12))),0)</f>
        <v>233640</v>
      </c>
      <c r="I11" s="28"/>
      <c r="J11" s="45">
        <f>J9-J17</f>
        <v>194700.3333333333</v>
      </c>
      <c r="N11" s="81">
        <f>(B13+$N$6)/USD!$T$123</f>
        <v>14770</v>
      </c>
      <c r="O11" s="81">
        <f>B13/USD!$S$123</f>
        <v>21655</v>
      </c>
      <c r="P11" s="81">
        <f>(D13+$N$6)/USD!$T$123</f>
        <v>17000</v>
      </c>
      <c r="Q11" s="81">
        <f>D13/USD!$S$123</f>
        <v>25000</v>
      </c>
      <c r="R11" s="81">
        <f>(F13+$N$6)/USD!$T$123</f>
        <v>17000</v>
      </c>
      <c r="S11" s="81">
        <f>F13/USD!$S$123</f>
        <v>25000</v>
      </c>
      <c r="V11" s="81">
        <f>(J13+$N$6)/USD!$T$123</f>
        <v>7551.666666666667</v>
      </c>
      <c r="W11" s="81">
        <f>J13/USD!$S$123</f>
        <v>10827.5</v>
      </c>
    </row>
    <row r="12" spans="2:23" ht="13.5" customHeight="1" thickBot="1" thickTop="1">
      <c r="B12" s="28"/>
      <c r="C12" s="28"/>
      <c r="D12" s="28"/>
      <c r="E12" s="28"/>
      <c r="F12" s="28"/>
      <c r="G12" s="28"/>
      <c r="H12" s="28"/>
      <c r="I12" s="28"/>
      <c r="J12" s="28"/>
      <c r="M12" s="97"/>
      <c r="N12" s="80"/>
      <c r="O12" s="81">
        <f>USD!$R$123+0.01</f>
        <v>1000.01</v>
      </c>
      <c r="P12" s="80"/>
      <c r="Q12" s="81">
        <f>USD!$R$123+0.01</f>
        <v>1000.01</v>
      </c>
      <c r="R12" s="80"/>
      <c r="S12" s="81">
        <f>USD!$R$123+0.01</f>
        <v>1000.01</v>
      </c>
      <c r="V12" s="80"/>
      <c r="W12" s="81">
        <f>USD!$R$123+0.01</f>
        <v>1000.01</v>
      </c>
    </row>
    <row r="13" spans="1:23" s="95" customFormat="1" ht="27" customHeight="1" thickBot="1" thickTop="1">
      <c r="A13" s="37" t="s">
        <v>11</v>
      </c>
      <c r="B13" s="46">
        <f>ROUND(B11*(($I$4/12)/(1-(1+($I$4/12))^-($C$4*12))),0)</f>
        <v>8662</v>
      </c>
      <c r="C13" s="94"/>
      <c r="D13" s="46">
        <f>ROUND(D11*(($I$4/12)/(1-(1+($I$4/12))^-($C$4*12))),0)</f>
        <v>10000</v>
      </c>
      <c r="E13" s="94"/>
      <c r="F13" s="48">
        <v>10000</v>
      </c>
      <c r="G13" s="94"/>
      <c r="H13" s="46">
        <f>IF(H15=0,0,IF(H15&lt;=USD!R123,MIN(H15*USD!T123-N6,H15*USD!S123),IF(H15&lt;=USD!R124,MIN(H15*USD!T124-N6,H15*USD!S124),IF(H15&lt;=USD!R125,MIN(H15*USD!T125-N6,H15*USD!S125),IF(H15&lt;=USD!R126,MIN(H15*USD!T126-N6,H15*USD!S126),IF(H15&lt;=USD!R127,MIN(H15*USD!T127-N6,H15*USD!S127),IF(H15&lt;=USD!R128,MIN(H15*USD!T128-N6,H15*USD!S128),MIN(H15*USD!T129-N6,H15*USD!S129))))))))</f>
        <v>5197.2</v>
      </c>
      <c r="I13" s="94"/>
      <c r="J13" s="46">
        <f>ROUND(J11*(($I$4/12)/(1-(1+($I$4/12))^-($C$4*12))),0)</f>
        <v>4331</v>
      </c>
      <c r="N13" s="81">
        <f>(B13+$N$6)/USD!$T$124</f>
        <v>13633.846153846154</v>
      </c>
      <c r="O13" s="81">
        <f>B13/USD!$S$124</f>
        <v>19248.888888888887</v>
      </c>
      <c r="P13" s="81">
        <f>(D13+$N$6)/USD!$T$124</f>
        <v>15692.307692307691</v>
      </c>
      <c r="Q13" s="81">
        <f>D13/USD!$S$124</f>
        <v>22222.222222222223</v>
      </c>
      <c r="R13" s="81">
        <f>(F13+$N$6)/USD!$T$124</f>
        <v>15692.307692307691</v>
      </c>
      <c r="S13" s="81">
        <f>F13/USD!$S$124</f>
        <v>22222.222222222223</v>
      </c>
      <c r="V13" s="81">
        <f>(J13+$N$6)/USD!$T$124</f>
        <v>6970.7692307692305</v>
      </c>
      <c r="W13" s="81">
        <f>J13/USD!$S$124</f>
        <v>9624.444444444443</v>
      </c>
    </row>
    <row r="14" spans="2:23" ht="13.5" customHeight="1" thickBot="1" thickTop="1">
      <c r="B14" s="28"/>
      <c r="C14" s="28"/>
      <c r="D14" s="28"/>
      <c r="E14" s="28"/>
      <c r="F14" s="28"/>
      <c r="G14" s="28"/>
      <c r="H14" s="28"/>
      <c r="I14" s="28"/>
      <c r="J14" s="28"/>
      <c r="N14" s="81"/>
      <c r="O14" s="81">
        <f>USD!$R$124+0.01</f>
        <v>2000.01</v>
      </c>
      <c r="P14" s="81"/>
      <c r="Q14" s="81">
        <f>USD!$R$124+0.01</f>
        <v>2000.01</v>
      </c>
      <c r="R14" s="81"/>
      <c r="S14" s="81">
        <f>USD!$R$124+0.01</f>
        <v>2000.01</v>
      </c>
      <c r="V14" s="81"/>
      <c r="W14" s="81">
        <f>USD!$R$124+0.01</f>
        <v>2000.01</v>
      </c>
    </row>
    <row r="15" spans="1:23" ht="27" customHeight="1" thickBot="1" thickTop="1">
      <c r="A15" s="38" t="s">
        <v>12</v>
      </c>
      <c r="B15" s="49">
        <f>IF(B9=0,0,IF(MAX(N11:O11)&lt;=USD!$R$123,MAX(N11:O11),IF(MAX(N13:O13)&lt;=USD!$R$124,MAX(N12:O13),IF(MAX(N15:O15)&lt;=USD!$R$125,MAX(N14:O15),IF(MAX(N17:O17)&lt;=USD!$R$126,MAX(N16:O17),IF(MAX(N19:O19)&lt;=USD!$R$127,MAX(N18:O19),IF(MAX(N21:O21)&lt;=USD!$R$128,MAX(N20:O21),MAX(N22:O23))))))))</f>
        <v>12374.285714285716</v>
      </c>
      <c r="C15" s="98"/>
      <c r="D15" s="49">
        <f>IF(D9=0,0,IF(MAX(P11:Q11)&lt;=USD!$R$123,MAX(P11:Q11),IF(MAX(P13:Q13)&lt;=USD!$R$124,MAX(P12:Q13),IF(MAX(P15:Q15)&lt;=USD!$R$125,MAX(P14:Q15),IF(MAX(P17:Q17)&lt;=USD!$R$126,MAX(P16:Q17),IF(MAX(P19:Q19)&lt;=USD!$R$127,MAX(P18:Q19),IF(MAX(P21:Q21)&lt;=USD!$R$128,MAX(P20:Q21),MAX(P22:Q23))))))))</f>
        <v>14285.714285714286</v>
      </c>
      <c r="E15" s="28"/>
      <c r="F15" s="49">
        <f>IF(F9=0,0,IF(MAX(R11:S11)&lt;=USD!$R$123,MAX(R11:S11),IF(MAX(R13:S13)&lt;=USD!$R$124,MAX(R12:S13),IF(MAX(R15:S15)&lt;=USD!$R$125,MAX(R14:S15),IF(MAX(R17:S17)&lt;=USD!$R$126,MAX(R16:S17),IF(MAX(R19:S19)&lt;=USD!$R$127,MAX(R18:S19),IF(MAX(R21:S21)&lt;=USD!$R$128,MAX(R20:S21),MAX(R22:S23))))))))</f>
        <v>14285.714285714286</v>
      </c>
      <c r="G15" s="28"/>
      <c r="H15" s="51">
        <v>8662</v>
      </c>
      <c r="I15" s="28"/>
      <c r="J15" s="49">
        <f>IF(J9=0,0,IF(MAX(V11:W11)&lt;=USD!$R$123,MAX(V11:W11),IF(MAX(V13:W13)&lt;=USD!$R$124,MAX(V12:W13),IF(MAX(V15:W15)&lt;=USD!$R$125,MAX(V14:W15),IF(MAX(V17:W17)&lt;=USD!$R$126,MAX(V16:W17),IF(MAX(V19:W19)&lt;=USD!$R$127,MAX(V18:W19),IF(MAX(V21:W21)&lt;=USD!$R$128,MAX(V20:W21),MAX(V22:W23))))))))</f>
        <v>7218.333333333334</v>
      </c>
      <c r="N15" s="81">
        <f>(B13+$N$6)/USD!$T$125</f>
        <v>12660</v>
      </c>
      <c r="O15" s="81">
        <f>B13/USD!$S$125</f>
        <v>17324</v>
      </c>
      <c r="P15" s="81">
        <f>(D13+$N$6)/USD!$T$125</f>
        <v>14571.428571428572</v>
      </c>
      <c r="Q15" s="81">
        <f>D13/USD!$S$125</f>
        <v>20000</v>
      </c>
      <c r="R15" s="81">
        <f>(F13+$N$6)/USD!$T$125</f>
        <v>14571.428571428572</v>
      </c>
      <c r="S15" s="81">
        <f>F13/USD!$S$125</f>
        <v>20000</v>
      </c>
      <c r="V15" s="81">
        <f>(J13+$N$6)/USD!$T$125</f>
        <v>6472.857142857143</v>
      </c>
      <c r="W15" s="81">
        <f>J13/USD!$S$125</f>
        <v>8662</v>
      </c>
    </row>
    <row r="16" spans="3:23" ht="13.5" customHeight="1" thickBot="1" thickTop="1">
      <c r="C16" s="28"/>
      <c r="D16" s="28"/>
      <c r="E16" s="28"/>
      <c r="F16" s="28"/>
      <c r="G16" s="28"/>
      <c r="H16" s="28"/>
      <c r="I16" s="28"/>
      <c r="J16" s="28"/>
      <c r="N16" s="81"/>
      <c r="O16" s="81">
        <f>USD!$R$125+0.01</f>
        <v>3000.01</v>
      </c>
      <c r="P16" s="81"/>
      <c r="Q16" s="81">
        <f>USD!$R$125+0.01</f>
        <v>3000.01</v>
      </c>
      <c r="R16" s="81"/>
      <c r="S16" s="81">
        <f>USD!$R$125+0.01</f>
        <v>3000.01</v>
      </c>
      <c r="V16" s="81"/>
      <c r="W16" s="81">
        <f>USD!$R$125+0.01</f>
        <v>3000.01</v>
      </c>
    </row>
    <row r="17" spans="1:23" ht="27" customHeight="1" thickBot="1" thickTop="1">
      <c r="A17" s="31" t="s">
        <v>13</v>
      </c>
      <c r="B17" s="52">
        <f>B9-B11</f>
        <v>166885.2</v>
      </c>
      <c r="C17" s="28"/>
      <c r="D17" s="52">
        <f>D9-D11</f>
        <v>192664.2857142858</v>
      </c>
      <c r="E17" s="28"/>
      <c r="F17" s="52">
        <f>F9-F11</f>
        <v>192664.2857142858</v>
      </c>
      <c r="G17" s="28"/>
      <c r="H17" s="52">
        <f>H9-H11</f>
        <v>100131.42857142858</v>
      </c>
      <c r="I17" s="28"/>
      <c r="J17" s="53">
        <v>83443</v>
      </c>
      <c r="N17" s="81">
        <f>(B13+$N$6)/USD!$T$126</f>
        <v>11816</v>
      </c>
      <c r="O17" s="81">
        <f>B13/USD!$S$126</f>
        <v>15749.090909090908</v>
      </c>
      <c r="P17" s="81">
        <f>(D13+$N$6)/USD!$T$126</f>
        <v>13600</v>
      </c>
      <c r="Q17" s="81">
        <f>D13/USD!$S$126</f>
        <v>18181.81818181818</v>
      </c>
      <c r="R17" s="81">
        <f>(F13+$N$6)/USD!$T$126</f>
        <v>13600</v>
      </c>
      <c r="S17" s="81">
        <f>F13/USD!$S$126</f>
        <v>18181.81818181818</v>
      </c>
      <c r="V17" s="81">
        <f>(J13+$N$6)/USD!$T$126</f>
        <v>6041.333333333333</v>
      </c>
      <c r="W17" s="81">
        <f>J13/USD!$S$126</f>
        <v>7874.545454545454</v>
      </c>
    </row>
    <row r="18" spans="14:23" ht="13.5" thickTop="1">
      <c r="N18" s="79"/>
      <c r="O18" s="81">
        <f>USD!$R$126+0.01</f>
        <v>6000.01</v>
      </c>
      <c r="P18" s="79"/>
      <c r="Q18" s="81">
        <f>USD!$R$126+0.01</f>
        <v>6000.01</v>
      </c>
      <c r="R18" s="79"/>
      <c r="S18" s="81">
        <f>USD!$R$126+0.01</f>
        <v>6000.01</v>
      </c>
      <c r="V18" s="79"/>
      <c r="W18" s="81">
        <f>USD!$R$126+0.01</f>
        <v>6000.01</v>
      </c>
    </row>
    <row r="19" spans="14:23" ht="12.75">
      <c r="N19" s="81">
        <f>(B13+$N$6)/USD!$T$127</f>
        <v>11077.5</v>
      </c>
      <c r="O19" s="81">
        <f>B13/USD!$S$127</f>
        <v>14436.666666666668</v>
      </c>
      <c r="P19" s="81">
        <f>(D13+$N$6)/USD!$T$127</f>
        <v>12750</v>
      </c>
      <c r="Q19" s="81">
        <f>D13/USD!$S$127</f>
        <v>16666.666666666668</v>
      </c>
      <c r="R19" s="81">
        <f>(F13+$N$6)/USD!$T$127</f>
        <v>12750</v>
      </c>
      <c r="S19" s="81">
        <f>F13/USD!$S$127</f>
        <v>16666.666666666668</v>
      </c>
      <c r="V19" s="81">
        <f>(J13+$N$6)/USD!$T$127</f>
        <v>5663.75</v>
      </c>
      <c r="W19" s="81">
        <f>J13/USD!$S$127</f>
        <v>7218.333333333334</v>
      </c>
    </row>
    <row r="20" spans="14:23" ht="12.75">
      <c r="N20" s="79"/>
      <c r="O20" s="81">
        <f>USD!$R$127+0.01</f>
        <v>9000.01</v>
      </c>
      <c r="P20" s="79"/>
      <c r="Q20" s="81">
        <f>USD!$R$127+0.01</f>
        <v>9000.01</v>
      </c>
      <c r="R20" s="79"/>
      <c r="S20" s="81">
        <f>USD!$R$127+0.01</f>
        <v>9000.01</v>
      </c>
      <c r="V20" s="79"/>
      <c r="W20" s="81">
        <f>USD!$R$127+0.01</f>
        <v>9000.01</v>
      </c>
    </row>
    <row r="21" spans="14:23" ht="12.75">
      <c r="N21" s="81">
        <f>(B13+$N$6)/USD!$T$128</f>
        <v>10425.882352941177</v>
      </c>
      <c r="O21" s="81">
        <f>B13/USD!$S$128</f>
        <v>13326.153846153846</v>
      </c>
      <c r="P21" s="81">
        <f>(D13+$N$6)/USD!$T$128</f>
        <v>12000</v>
      </c>
      <c r="Q21" s="81">
        <f>D13/USD!$S$128</f>
        <v>15384.615384615385</v>
      </c>
      <c r="R21" s="81">
        <f>(F13+$N$6)/USD!$T$128</f>
        <v>12000</v>
      </c>
      <c r="S21" s="81">
        <f>F13/USD!$S$128</f>
        <v>15384.615384615385</v>
      </c>
      <c r="V21" s="81">
        <f>(J13+$N$6)/USD!$T$128</f>
        <v>5330.588235294118</v>
      </c>
      <c r="W21" s="81">
        <f>J13/USD!$S$128</f>
        <v>6663.076923076923</v>
      </c>
    </row>
    <row r="22" spans="14:23" ht="12.75">
      <c r="N22" s="79"/>
      <c r="O22" s="81">
        <f>USD!$R$128+0.01</f>
        <v>12000.01</v>
      </c>
      <c r="P22" s="79"/>
      <c r="Q22" s="81">
        <f>USD!$R$128+0.01</f>
        <v>12000.01</v>
      </c>
      <c r="R22" s="79"/>
      <c r="S22" s="81">
        <f>USD!$R$128+0.01</f>
        <v>12000.01</v>
      </c>
      <c r="V22" s="79"/>
      <c r="W22" s="81">
        <f>USD!$R$128+0.01</f>
        <v>12000.01</v>
      </c>
    </row>
    <row r="23" spans="14:23" ht="12.75">
      <c r="N23" s="81">
        <f>(B13+$N$6)/USD!$T$129</f>
        <v>9846.666666666666</v>
      </c>
      <c r="O23" s="81">
        <f>B13/USD!$S$129</f>
        <v>12374.285714285716</v>
      </c>
      <c r="P23" s="81">
        <f>(D13+$N$6)/USD!$T$129</f>
        <v>11333.333333333334</v>
      </c>
      <c r="Q23" s="81">
        <f>D13/USD!$S$129</f>
        <v>14285.714285714286</v>
      </c>
      <c r="R23" s="81">
        <f>(F13+$N$6)/USD!$T$129</f>
        <v>11333.333333333334</v>
      </c>
      <c r="S23" s="81">
        <f>F13/USD!$S$129</f>
        <v>14285.714285714286</v>
      </c>
      <c r="V23" s="81">
        <f>(J13+$N$6)/USD!$T$129</f>
        <v>5034.444444444444</v>
      </c>
      <c r="W23" s="81">
        <f>J13/USD!$S$129</f>
        <v>6187.142857142858</v>
      </c>
    </row>
    <row r="25" spans="15:27" ht="12.75">
      <c r="O25" s="24"/>
      <c r="P25" s="25"/>
      <c r="Q25" s="30"/>
      <c r="R25" s="175" t="str">
        <f>USD!R26</f>
        <v>Готовое</v>
      </c>
      <c r="S25" s="175" t="str">
        <f>USD!S26</f>
        <v>Стройка</v>
      </c>
      <c r="T25" s="175" t="str">
        <f>USD!T26</f>
        <v>Нецелевой</v>
      </c>
      <c r="U25" s="199" t="str">
        <f>USD!U26</f>
        <v>Рефинансирование</v>
      </c>
      <c r="V25" s="199"/>
      <c r="W25" s="199" t="str">
        <f>USD!W26</f>
        <v>Сотрудники</v>
      </c>
      <c r="X25" s="199"/>
      <c r="Y25" s="199" t="str">
        <f>USD!Y26</f>
        <v>УЖУ</v>
      </c>
      <c r="Z25" s="199"/>
      <c r="AA25" s="199"/>
    </row>
    <row r="26" spans="15:27" ht="12.75">
      <c r="O26" s="24"/>
      <c r="P26" s="25"/>
      <c r="Q26" s="30"/>
      <c r="R26" s="175"/>
      <c r="S26" s="175"/>
      <c r="T26" s="175"/>
      <c r="U26" s="175" t="str">
        <f>USD!U27</f>
        <v>Готовое</v>
      </c>
      <c r="V26" s="175" t="str">
        <f>USD!V27</f>
        <v>Нецелевой</v>
      </c>
      <c r="W26" s="175" t="str">
        <f>USD!W27</f>
        <v>Готовое</v>
      </c>
      <c r="X26" s="175" t="str">
        <f>USD!X27</f>
        <v>Стройка</v>
      </c>
      <c r="Y26" s="175" t="str">
        <f>USD!Y27</f>
        <v>Собств.</v>
      </c>
      <c r="Z26" s="175" t="str">
        <f>USD!Z27</f>
        <v>Собств.+Покуп.</v>
      </c>
      <c r="AA26" s="175" t="str">
        <f>USD!AA27</f>
        <v>Не продается</v>
      </c>
    </row>
    <row r="27" spans="15:27" ht="12.75">
      <c r="O27" s="87" t="str">
        <f>USD!O28</f>
        <v>Остальные регионы</v>
      </c>
      <c r="P27" s="88">
        <f>USD!P28</f>
        <v>100</v>
      </c>
      <c r="Q27" s="88">
        <f>USD!Q28</f>
        <v>85</v>
      </c>
      <c r="R27" s="176">
        <f>USD!R28</f>
        <v>0.85</v>
      </c>
      <c r="S27" s="176">
        <f>USD!S28</f>
        <v>0.85</v>
      </c>
      <c r="T27" s="176">
        <f>USD!T28</f>
        <v>0.7</v>
      </c>
      <c r="U27" s="176">
        <f>USD!U28</f>
        <v>0.85</v>
      </c>
      <c r="V27" s="176">
        <f>USD!V28</f>
        <v>0.7</v>
      </c>
      <c r="W27" s="176">
        <f>USD!W28</f>
        <v>0.85</v>
      </c>
      <c r="X27" s="176">
        <f>USD!X28</f>
        <v>0.95</v>
      </c>
      <c r="Y27" s="176">
        <f>USD!Y28</f>
        <v>1</v>
      </c>
      <c r="Z27" s="176">
        <f>USD!Z28</f>
        <v>0.9</v>
      </c>
      <c r="AA27" s="176">
        <f>USD!AA28</f>
        <v>0.85</v>
      </c>
    </row>
    <row r="28" spans="15:27" ht="12.75">
      <c r="O28" s="87" t="str">
        <f>USD!O29</f>
        <v>Архангельская область (не включая г. Архангельск)</v>
      </c>
      <c r="P28" s="88">
        <f>USD!P29</f>
        <v>100</v>
      </c>
      <c r="Q28" s="88">
        <f>USD!Q29</f>
        <v>85</v>
      </c>
      <c r="R28" s="176">
        <f>USD!R29</f>
        <v>0.85</v>
      </c>
      <c r="S28" s="176">
        <f>USD!S29</f>
        <v>0.85</v>
      </c>
      <c r="T28" s="176">
        <f>USD!T29</f>
        <v>0.7</v>
      </c>
      <c r="U28" s="176">
        <f>USD!U29</f>
        <v>0.85</v>
      </c>
      <c r="V28" s="176">
        <f>USD!V29</f>
        <v>0.7</v>
      </c>
      <c r="W28" s="176">
        <f>USD!W29</f>
        <v>0.85</v>
      </c>
      <c r="X28" s="176">
        <f>USD!X29</f>
        <v>0.95</v>
      </c>
      <c r="Y28" s="176">
        <f>USD!Y29</f>
        <v>1</v>
      </c>
      <c r="Z28" s="176">
        <f>USD!Z29</f>
        <v>0.9</v>
      </c>
      <c r="AA28" s="176">
        <f>USD!AA29</f>
        <v>0.85</v>
      </c>
    </row>
    <row r="29" spans="15:27" ht="12.75">
      <c r="O29" s="87" t="str">
        <f>USD!O30</f>
        <v>г. Архангельск</v>
      </c>
      <c r="P29" s="88">
        <f>USD!P30</f>
        <v>100</v>
      </c>
      <c r="Q29" s="88">
        <f>USD!Q30</f>
        <v>85</v>
      </c>
      <c r="R29" s="176">
        <f>USD!R30</f>
        <v>0.9</v>
      </c>
      <c r="S29" s="176">
        <f>USD!S30</f>
        <v>0.85</v>
      </c>
      <c r="T29" s="176">
        <f>USD!T30</f>
        <v>0.7</v>
      </c>
      <c r="U29" s="176">
        <f>USD!U30</f>
        <v>0.85</v>
      </c>
      <c r="V29" s="176">
        <f>USD!V30</f>
        <v>0.7</v>
      </c>
      <c r="W29" s="176">
        <f>USD!W30</f>
        <v>0.9</v>
      </c>
      <c r="X29" s="176">
        <f>USD!X30</f>
        <v>0.95</v>
      </c>
      <c r="Y29" s="176">
        <f>USD!Y30</f>
        <v>1</v>
      </c>
      <c r="Z29" s="176">
        <f>USD!Z30</f>
        <v>0.9</v>
      </c>
      <c r="AA29" s="176">
        <f>USD!AA30</f>
        <v>0.85</v>
      </c>
    </row>
    <row r="30" spans="15:27" ht="12.75">
      <c r="O30" s="87" t="str">
        <f>USD!O31</f>
        <v>Астраханская область (не включая г. Астрахань)</v>
      </c>
      <c r="P30" s="88">
        <f>USD!P31</f>
        <v>100</v>
      </c>
      <c r="Q30" s="88">
        <f>USD!Q31</f>
        <v>85</v>
      </c>
      <c r="R30" s="176">
        <f>USD!R31</f>
        <v>0.85</v>
      </c>
      <c r="S30" s="176">
        <f>USD!S31</f>
        <v>0.85</v>
      </c>
      <c r="T30" s="176">
        <f>USD!T31</f>
        <v>0.7</v>
      </c>
      <c r="U30" s="176">
        <f>USD!U31</f>
        <v>0.85</v>
      </c>
      <c r="V30" s="176">
        <f>USD!V31</f>
        <v>0.7</v>
      </c>
      <c r="W30" s="176">
        <f>USD!W31</f>
        <v>0.85</v>
      </c>
      <c r="X30" s="176">
        <f>USD!X31</f>
        <v>0.95</v>
      </c>
      <c r="Y30" s="176">
        <f>USD!Y31</f>
        <v>1</v>
      </c>
      <c r="Z30" s="176">
        <f>USD!Z31</f>
        <v>0.9</v>
      </c>
      <c r="AA30" s="176">
        <f>USD!AA31</f>
        <v>0.85</v>
      </c>
    </row>
    <row r="31" spans="15:27" ht="12.75">
      <c r="O31" s="87" t="str">
        <f>USD!O32</f>
        <v>г. Астрахань</v>
      </c>
      <c r="P31" s="88">
        <f>USD!P32</f>
        <v>100</v>
      </c>
      <c r="Q31" s="88">
        <f>USD!Q32</f>
        <v>85</v>
      </c>
      <c r="R31" s="176">
        <f>USD!R32</f>
        <v>0.9</v>
      </c>
      <c r="S31" s="176">
        <f>USD!S32</f>
        <v>0.85</v>
      </c>
      <c r="T31" s="176">
        <f>USD!T32</f>
        <v>0.7</v>
      </c>
      <c r="U31" s="176">
        <f>USD!U32</f>
        <v>0.85</v>
      </c>
      <c r="V31" s="176">
        <f>USD!V32</f>
        <v>0.7</v>
      </c>
      <c r="W31" s="176">
        <f>USD!W32</f>
        <v>0.9</v>
      </c>
      <c r="X31" s="176">
        <f>USD!X32</f>
        <v>0.95</v>
      </c>
      <c r="Y31" s="176">
        <f>USD!Y32</f>
        <v>1</v>
      </c>
      <c r="Z31" s="176">
        <f>USD!Z32</f>
        <v>0.9</v>
      </c>
      <c r="AA31" s="176">
        <f>USD!AA32</f>
        <v>0.85</v>
      </c>
    </row>
    <row r="32" spans="15:27" ht="12.75">
      <c r="O32" s="87" t="str">
        <f>USD!O33</f>
        <v>Алтайский край (не включая г. Барнаул)</v>
      </c>
      <c r="P32" s="88">
        <f>USD!P33</f>
        <v>100</v>
      </c>
      <c r="Q32" s="88">
        <f>USD!Q33</f>
        <v>85</v>
      </c>
      <c r="R32" s="176">
        <f>USD!R33</f>
        <v>0.85</v>
      </c>
      <c r="S32" s="176">
        <f>USD!S33</f>
        <v>0.85</v>
      </c>
      <c r="T32" s="176">
        <f>USD!T33</f>
        <v>0.7</v>
      </c>
      <c r="U32" s="176">
        <f>USD!U33</f>
        <v>0.85</v>
      </c>
      <c r="V32" s="176">
        <f>USD!V33</f>
        <v>0.7</v>
      </c>
      <c r="W32" s="176">
        <f>USD!W33</f>
        <v>0.85</v>
      </c>
      <c r="X32" s="176">
        <f>USD!X33</f>
        <v>0.95</v>
      </c>
      <c r="Y32" s="176">
        <f>USD!Y33</f>
        <v>1</v>
      </c>
      <c r="Z32" s="176">
        <f>USD!Z33</f>
        <v>0.9</v>
      </c>
      <c r="AA32" s="176">
        <f>USD!AA33</f>
        <v>0.85</v>
      </c>
    </row>
    <row r="33" spans="15:27" ht="12.75">
      <c r="O33" s="87" t="str">
        <f>USD!O34</f>
        <v>г. Барнаул</v>
      </c>
      <c r="P33" s="88">
        <f>USD!P34</f>
        <v>100</v>
      </c>
      <c r="Q33" s="88">
        <f>USD!Q34</f>
        <v>85</v>
      </c>
      <c r="R33" s="176">
        <f>USD!R34</f>
        <v>0.9</v>
      </c>
      <c r="S33" s="176">
        <f>USD!S34</f>
        <v>0.85</v>
      </c>
      <c r="T33" s="176">
        <f>USD!T34</f>
        <v>0.7</v>
      </c>
      <c r="U33" s="176">
        <f>USD!U34</f>
        <v>0.85</v>
      </c>
      <c r="V33" s="176">
        <f>USD!V34</f>
        <v>0.7</v>
      </c>
      <c r="W33" s="176">
        <f>USD!W34</f>
        <v>0.9</v>
      </c>
      <c r="X33" s="176">
        <f>USD!X34</f>
        <v>0.95</v>
      </c>
      <c r="Y33" s="176">
        <f>USD!Y34</f>
        <v>1</v>
      </c>
      <c r="Z33" s="176">
        <f>USD!Z34</f>
        <v>0.9</v>
      </c>
      <c r="AA33" s="176">
        <f>USD!AA34</f>
        <v>0.85</v>
      </c>
    </row>
    <row r="34" spans="15:27" ht="12.75">
      <c r="O34" s="87" t="str">
        <f>USD!O35</f>
        <v>Белгородская область (не включая г. Белгород)</v>
      </c>
      <c r="P34" s="88">
        <f>USD!P35</f>
        <v>100</v>
      </c>
      <c r="Q34" s="88">
        <f>USD!Q35</f>
        <v>85</v>
      </c>
      <c r="R34" s="176">
        <f>USD!R35</f>
        <v>0.85</v>
      </c>
      <c r="S34" s="176">
        <f>USD!S35</f>
        <v>0.85</v>
      </c>
      <c r="T34" s="176">
        <f>USD!T35</f>
        <v>0.7</v>
      </c>
      <c r="U34" s="176">
        <f>USD!U35</f>
        <v>0.85</v>
      </c>
      <c r="V34" s="176">
        <f>USD!V35</f>
        <v>0.7</v>
      </c>
      <c r="W34" s="176">
        <f>USD!W35</f>
        <v>0.85</v>
      </c>
      <c r="X34" s="176">
        <f>USD!X35</f>
        <v>0.95</v>
      </c>
      <c r="Y34" s="176">
        <f>USD!Y35</f>
        <v>1</v>
      </c>
      <c r="Z34" s="176">
        <f>USD!Z35</f>
        <v>0.9</v>
      </c>
      <c r="AA34" s="176">
        <f>USD!AA35</f>
        <v>0.85</v>
      </c>
    </row>
    <row r="35" spans="15:27" ht="12.75">
      <c r="O35" s="87" t="str">
        <f>USD!O36</f>
        <v>г. Белгород</v>
      </c>
      <c r="P35" s="88">
        <f>USD!P36</f>
        <v>100</v>
      </c>
      <c r="Q35" s="88">
        <f>USD!Q36</f>
        <v>85</v>
      </c>
      <c r="R35" s="176">
        <f>USD!R36</f>
        <v>0.9</v>
      </c>
      <c r="S35" s="176">
        <f>USD!S36</f>
        <v>0.85</v>
      </c>
      <c r="T35" s="176">
        <f>USD!T36</f>
        <v>0.7</v>
      </c>
      <c r="U35" s="176">
        <f>USD!U36</f>
        <v>0.85</v>
      </c>
      <c r="V35" s="176">
        <f>USD!V36</f>
        <v>0.7</v>
      </c>
      <c r="W35" s="176">
        <f>USD!W36</f>
        <v>0.9</v>
      </c>
      <c r="X35" s="176">
        <f>USD!X36</f>
        <v>0.95</v>
      </c>
      <c r="Y35" s="176">
        <f>USD!Y36</f>
        <v>1</v>
      </c>
      <c r="Z35" s="176">
        <f>USD!Z36</f>
        <v>0.9</v>
      </c>
      <c r="AA35" s="176">
        <f>USD!AA36</f>
        <v>0.85</v>
      </c>
    </row>
    <row r="36" spans="15:27" ht="12.75">
      <c r="O36" s="87" t="str">
        <f>USD!O37</f>
        <v>Владимирская область (не включая г. Владимир)</v>
      </c>
      <c r="P36" s="88">
        <f>USD!P37</f>
        <v>100</v>
      </c>
      <c r="Q36" s="88">
        <f>USD!Q37</f>
        <v>85</v>
      </c>
      <c r="R36" s="176">
        <f>USD!R37</f>
        <v>0.85</v>
      </c>
      <c r="S36" s="176">
        <f>USD!S37</f>
        <v>0.85</v>
      </c>
      <c r="T36" s="176">
        <f>USD!T37</f>
        <v>0.7</v>
      </c>
      <c r="U36" s="176">
        <f>USD!U37</f>
        <v>0.85</v>
      </c>
      <c r="V36" s="176">
        <f>USD!V37</f>
        <v>0.7</v>
      </c>
      <c r="W36" s="176">
        <f>USD!W37</f>
        <v>0.85</v>
      </c>
      <c r="X36" s="176">
        <f>USD!X37</f>
        <v>0.95</v>
      </c>
      <c r="Y36" s="176">
        <f>USD!Y37</f>
        <v>1</v>
      </c>
      <c r="Z36" s="176">
        <f>USD!Z37</f>
        <v>0.9</v>
      </c>
      <c r="AA36" s="176">
        <f>USD!AA37</f>
        <v>0.85</v>
      </c>
    </row>
    <row r="37" spans="15:27" ht="12.75">
      <c r="O37" s="87" t="str">
        <f>USD!O38</f>
        <v>г. Владимир</v>
      </c>
      <c r="P37" s="88">
        <f>USD!P38</f>
        <v>100</v>
      </c>
      <c r="Q37" s="88">
        <f>USD!Q38</f>
        <v>85</v>
      </c>
      <c r="R37" s="176">
        <f>USD!R38</f>
        <v>0.9</v>
      </c>
      <c r="S37" s="176">
        <f>USD!S38</f>
        <v>0.85</v>
      </c>
      <c r="T37" s="176">
        <f>USD!T38</f>
        <v>0.7</v>
      </c>
      <c r="U37" s="176">
        <f>USD!U38</f>
        <v>0.85</v>
      </c>
      <c r="V37" s="176">
        <f>USD!V38</f>
        <v>0.7</v>
      </c>
      <c r="W37" s="176">
        <f>USD!W38</f>
        <v>0.9</v>
      </c>
      <c r="X37" s="176">
        <f>USD!X38</f>
        <v>0.95</v>
      </c>
      <c r="Y37" s="176">
        <f>USD!Y38</f>
        <v>1</v>
      </c>
      <c r="Z37" s="176">
        <f>USD!Z38</f>
        <v>0.9</v>
      </c>
      <c r="AA37" s="176">
        <f>USD!AA38</f>
        <v>0.85</v>
      </c>
    </row>
    <row r="38" spans="15:27" ht="12.75">
      <c r="O38" s="87" t="str">
        <f>USD!O39</f>
        <v>Волгоградская область (не включая г. Волгоград)</v>
      </c>
      <c r="P38" s="88">
        <f>USD!P39</f>
        <v>100</v>
      </c>
      <c r="Q38" s="88">
        <f>USD!Q39</f>
        <v>85</v>
      </c>
      <c r="R38" s="176">
        <f>USD!R39</f>
        <v>0.85</v>
      </c>
      <c r="S38" s="176">
        <f>USD!S39</f>
        <v>0.85</v>
      </c>
      <c r="T38" s="176">
        <f>USD!T39</f>
        <v>0.7</v>
      </c>
      <c r="U38" s="176">
        <f>USD!U39</f>
        <v>0.85</v>
      </c>
      <c r="V38" s="176">
        <f>USD!V39</f>
        <v>0.7</v>
      </c>
      <c r="W38" s="176">
        <f>USD!W39</f>
        <v>0.85</v>
      </c>
      <c r="X38" s="176">
        <f>USD!X39</f>
        <v>0.95</v>
      </c>
      <c r="Y38" s="176">
        <f>USD!Y39</f>
        <v>1</v>
      </c>
      <c r="Z38" s="176">
        <f>USD!Z39</f>
        <v>0.9</v>
      </c>
      <c r="AA38" s="176">
        <f>USD!AA39</f>
        <v>0.85</v>
      </c>
    </row>
    <row r="39" spans="15:27" ht="12.75">
      <c r="O39" s="87" t="str">
        <f>USD!O40</f>
        <v>г. Волгоград</v>
      </c>
      <c r="P39" s="88">
        <f>USD!P40</f>
        <v>100</v>
      </c>
      <c r="Q39" s="88">
        <f>USD!Q40</f>
        <v>85</v>
      </c>
      <c r="R39" s="176">
        <f>USD!R40</f>
        <v>0.9</v>
      </c>
      <c r="S39" s="176">
        <f>USD!S40</f>
        <v>0.85</v>
      </c>
      <c r="T39" s="176">
        <f>USD!T40</f>
        <v>0.7</v>
      </c>
      <c r="U39" s="176">
        <f>USD!U40</f>
        <v>0.85</v>
      </c>
      <c r="V39" s="176">
        <f>USD!V40</f>
        <v>0.7</v>
      </c>
      <c r="W39" s="176">
        <f>USD!W40</f>
        <v>0.9</v>
      </c>
      <c r="X39" s="176">
        <f>USD!X40</f>
        <v>0.95</v>
      </c>
      <c r="Y39" s="176">
        <f>USD!Y40</f>
        <v>1</v>
      </c>
      <c r="Z39" s="176">
        <f>USD!Z40</f>
        <v>0.9</v>
      </c>
      <c r="AA39" s="176">
        <f>USD!AA40</f>
        <v>0.85</v>
      </c>
    </row>
    <row r="40" spans="15:27" ht="12.75">
      <c r="O40" s="87" t="str">
        <f>USD!O41</f>
        <v>г. Вологда</v>
      </c>
      <c r="P40" s="88">
        <f>USD!P41</f>
        <v>120</v>
      </c>
      <c r="Q40" s="88">
        <f>USD!Q41</f>
        <v>100</v>
      </c>
      <c r="R40" s="176">
        <f>USD!R41</f>
        <v>0.9</v>
      </c>
      <c r="S40" s="176">
        <f>USD!S41</f>
        <v>0.85</v>
      </c>
      <c r="T40" s="176">
        <f>USD!T41</f>
        <v>0.7</v>
      </c>
      <c r="U40" s="176">
        <f>USD!U41</f>
        <v>0.85</v>
      </c>
      <c r="V40" s="176">
        <f>USD!V41</f>
        <v>0.7</v>
      </c>
      <c r="W40" s="176">
        <f>USD!W41</f>
        <v>0.9</v>
      </c>
      <c r="X40" s="176">
        <f>USD!X41</f>
        <v>0.95</v>
      </c>
      <c r="Y40" s="176">
        <f>USD!Y41</f>
        <v>1</v>
      </c>
      <c r="Z40" s="176">
        <f>USD!Z41</f>
        <v>0.9</v>
      </c>
      <c r="AA40" s="176">
        <f>USD!AA41</f>
        <v>0.85</v>
      </c>
    </row>
    <row r="41" spans="15:27" ht="12.75">
      <c r="O41" s="87" t="str">
        <f>USD!O42</f>
        <v>Воронежская область (включая г. Воронеж)</v>
      </c>
      <c r="P41" s="88">
        <f>USD!P42</f>
        <v>100</v>
      </c>
      <c r="Q41" s="88">
        <f>USD!Q42</f>
        <v>85</v>
      </c>
      <c r="R41" s="176">
        <f>USD!R42</f>
        <v>0.85</v>
      </c>
      <c r="S41" s="176">
        <f>USD!S42</f>
        <v>0.85</v>
      </c>
      <c r="T41" s="176">
        <f>USD!T42</f>
        <v>0.7</v>
      </c>
      <c r="U41" s="176">
        <f>USD!U42</f>
        <v>0.85</v>
      </c>
      <c r="V41" s="176">
        <f>USD!V42</f>
        <v>0.7</v>
      </c>
      <c r="W41" s="176">
        <f>USD!W42</f>
        <v>0.85</v>
      </c>
      <c r="X41" s="176">
        <f>USD!X42</f>
        <v>0.95</v>
      </c>
      <c r="Y41" s="176">
        <f>USD!Y42</f>
        <v>1</v>
      </c>
      <c r="Z41" s="176">
        <f>USD!Z42</f>
        <v>0.9</v>
      </c>
      <c r="AA41" s="176">
        <f>USD!AA42</f>
        <v>0.85</v>
      </c>
    </row>
    <row r="42" spans="15:27" ht="12.75">
      <c r="O42" s="87" t="str">
        <f>USD!O43</f>
        <v>Иркутская область (не включая г. Иркутск и г. Ангарск)</v>
      </c>
      <c r="P42" s="88">
        <f>USD!P43</f>
        <v>120</v>
      </c>
      <c r="Q42" s="88">
        <f>USD!Q43</f>
        <v>100</v>
      </c>
      <c r="R42" s="176">
        <f>USD!R43</f>
        <v>0.85</v>
      </c>
      <c r="S42" s="176">
        <f>USD!S43</f>
        <v>0.85</v>
      </c>
      <c r="T42" s="176">
        <f>USD!T43</f>
        <v>0.7</v>
      </c>
      <c r="U42" s="176">
        <f>USD!U43</f>
        <v>0.85</v>
      </c>
      <c r="V42" s="176">
        <f>USD!V43</f>
        <v>0.7</v>
      </c>
      <c r="W42" s="176">
        <f>USD!W43</f>
        <v>0.85</v>
      </c>
      <c r="X42" s="176">
        <f>USD!X43</f>
        <v>0.95</v>
      </c>
      <c r="Y42" s="176">
        <f>USD!Y43</f>
        <v>1</v>
      </c>
      <c r="Z42" s="176">
        <f>USD!Z43</f>
        <v>0.9</v>
      </c>
      <c r="AA42" s="176">
        <f>USD!AA43</f>
        <v>0.85</v>
      </c>
    </row>
    <row r="43" spans="15:27" ht="12.75">
      <c r="O43" s="87" t="str">
        <f>USD!O44</f>
        <v>г. Иркутск</v>
      </c>
      <c r="P43" s="88">
        <f>USD!P44</f>
        <v>120</v>
      </c>
      <c r="Q43" s="88">
        <f>USD!Q44</f>
        <v>100</v>
      </c>
      <c r="R43" s="176">
        <f>USD!R44</f>
        <v>0.9</v>
      </c>
      <c r="S43" s="176">
        <f>USD!S44</f>
        <v>0.85</v>
      </c>
      <c r="T43" s="176">
        <f>USD!T44</f>
        <v>0.7</v>
      </c>
      <c r="U43" s="176">
        <f>USD!U44</f>
        <v>0.85</v>
      </c>
      <c r="V43" s="176">
        <f>USD!V44</f>
        <v>0.7</v>
      </c>
      <c r="W43" s="176">
        <f>USD!W44</f>
        <v>0.9</v>
      </c>
      <c r="X43" s="176">
        <f>USD!X44</f>
        <v>0.95</v>
      </c>
      <c r="Y43" s="176">
        <f>USD!Y44</f>
        <v>1</v>
      </c>
      <c r="Z43" s="176">
        <f>USD!Z44</f>
        <v>0.9</v>
      </c>
      <c r="AA43" s="176">
        <f>USD!AA44</f>
        <v>0.85</v>
      </c>
    </row>
    <row r="44" spans="15:27" ht="12.75">
      <c r="O44" s="87" t="str">
        <f>USD!O45</f>
        <v>г. Ангарск</v>
      </c>
      <c r="P44" s="88">
        <f>USD!P45</f>
        <v>120</v>
      </c>
      <c r="Q44" s="88">
        <f>USD!Q45</f>
        <v>100</v>
      </c>
      <c r="R44" s="176">
        <f>USD!R45</f>
        <v>0.9</v>
      </c>
      <c r="S44" s="176">
        <f>USD!S45</f>
        <v>0.85</v>
      </c>
      <c r="T44" s="176">
        <f>USD!T45</f>
        <v>0.7</v>
      </c>
      <c r="U44" s="176">
        <f>USD!U45</f>
        <v>0.85</v>
      </c>
      <c r="V44" s="176">
        <f>USD!V45</f>
        <v>0.7</v>
      </c>
      <c r="W44" s="176">
        <f>USD!W45</f>
        <v>0.9</v>
      </c>
      <c r="X44" s="176">
        <f>USD!X45</f>
        <v>0.95</v>
      </c>
      <c r="Y44" s="176">
        <f>USD!Y45</f>
        <v>1</v>
      </c>
      <c r="Z44" s="176">
        <f>USD!Z45</f>
        <v>0.9</v>
      </c>
      <c r="AA44" s="176">
        <f>USD!AA45</f>
        <v>0.85</v>
      </c>
    </row>
    <row r="45" spans="15:27" ht="12.75">
      <c r="O45" s="87" t="str">
        <f>USD!O46</f>
        <v>Калининградская область (не включая г. Калининград)</v>
      </c>
      <c r="P45" s="88">
        <f>USD!P46</f>
        <v>100</v>
      </c>
      <c r="Q45" s="88">
        <f>USD!Q46</f>
        <v>85</v>
      </c>
      <c r="R45" s="176">
        <f>USD!R46</f>
        <v>0.85</v>
      </c>
      <c r="S45" s="176">
        <f>USD!S46</f>
        <v>0.85</v>
      </c>
      <c r="T45" s="176">
        <f>USD!T46</f>
        <v>0.7</v>
      </c>
      <c r="U45" s="176">
        <f>USD!U46</f>
        <v>0.85</v>
      </c>
      <c r="V45" s="176">
        <f>USD!V46</f>
        <v>0.7</v>
      </c>
      <c r="W45" s="176">
        <f>USD!W46</f>
        <v>0.85</v>
      </c>
      <c r="X45" s="176">
        <f>USD!X46</f>
        <v>0.95</v>
      </c>
      <c r="Y45" s="176">
        <f>USD!Y46</f>
        <v>1</v>
      </c>
      <c r="Z45" s="176">
        <f>USD!Z46</f>
        <v>0.9</v>
      </c>
      <c r="AA45" s="176">
        <f>USD!AA46</f>
        <v>0.85</v>
      </c>
    </row>
    <row r="46" spans="15:27" ht="12.75">
      <c r="O46" s="87" t="str">
        <f>USD!O47</f>
        <v>г. Калининград</v>
      </c>
      <c r="P46" s="88">
        <f>USD!P47</f>
        <v>100</v>
      </c>
      <c r="Q46" s="88">
        <f>USD!Q47</f>
        <v>85</v>
      </c>
      <c r="R46" s="176">
        <f>USD!R47</f>
        <v>0.9</v>
      </c>
      <c r="S46" s="176">
        <f>USD!S47</f>
        <v>0.85</v>
      </c>
      <c r="T46" s="176">
        <f>USD!T47</f>
        <v>0.7</v>
      </c>
      <c r="U46" s="176">
        <f>USD!U47</f>
        <v>0.85</v>
      </c>
      <c r="V46" s="176">
        <f>USD!V47</f>
        <v>0.7</v>
      </c>
      <c r="W46" s="176">
        <f>USD!W47</f>
        <v>0.9</v>
      </c>
      <c r="X46" s="176">
        <f>USD!X47</f>
        <v>0.95</v>
      </c>
      <c r="Y46" s="176">
        <f>USD!Y47</f>
        <v>1</v>
      </c>
      <c r="Z46" s="176">
        <f>USD!Z47</f>
        <v>0.9</v>
      </c>
      <c r="AA46" s="176">
        <f>USD!AA47</f>
        <v>0.85</v>
      </c>
    </row>
    <row r="47" spans="15:27" ht="12.75">
      <c r="O47" s="87" t="str">
        <f>USD!O48</f>
        <v>Кемеровская область (не включая г. Кемерово)</v>
      </c>
      <c r="P47" s="88">
        <f>USD!P48</f>
        <v>100</v>
      </c>
      <c r="Q47" s="88">
        <f>USD!Q48</f>
        <v>85</v>
      </c>
      <c r="R47" s="176">
        <f>USD!R48</f>
        <v>0.85</v>
      </c>
      <c r="S47" s="176">
        <f>USD!S48</f>
        <v>0.85</v>
      </c>
      <c r="T47" s="176">
        <f>USD!T48</f>
        <v>0.7</v>
      </c>
      <c r="U47" s="176">
        <f>USD!U48</f>
        <v>0.85</v>
      </c>
      <c r="V47" s="176">
        <f>USD!V48</f>
        <v>0.7</v>
      </c>
      <c r="W47" s="176">
        <f>USD!W48</f>
        <v>0.85</v>
      </c>
      <c r="X47" s="176">
        <f>USD!X48</f>
        <v>0.95</v>
      </c>
      <c r="Y47" s="176">
        <f>USD!Y48</f>
        <v>1</v>
      </c>
      <c r="Z47" s="176">
        <f>USD!Z48</f>
        <v>0.9</v>
      </c>
      <c r="AA47" s="176">
        <f>USD!AA48</f>
        <v>0.85</v>
      </c>
    </row>
    <row r="48" spans="15:27" ht="12.75">
      <c r="O48" s="87" t="str">
        <f>USD!O49</f>
        <v>г. Кемерово</v>
      </c>
      <c r="P48" s="88">
        <f>USD!P49</f>
        <v>100</v>
      </c>
      <c r="Q48" s="88">
        <f>USD!Q49</f>
        <v>85</v>
      </c>
      <c r="R48" s="176">
        <f>USD!R49</f>
        <v>0.9</v>
      </c>
      <c r="S48" s="176">
        <f>USD!S49</f>
        <v>0.85</v>
      </c>
      <c r="T48" s="176">
        <f>USD!T49</f>
        <v>0.7</v>
      </c>
      <c r="U48" s="176">
        <f>USD!U49</f>
        <v>0.85</v>
      </c>
      <c r="V48" s="176">
        <f>USD!V49</f>
        <v>0.7</v>
      </c>
      <c r="W48" s="176">
        <f>USD!W49</f>
        <v>0.9</v>
      </c>
      <c r="X48" s="176">
        <f>USD!X49</f>
        <v>0.95</v>
      </c>
      <c r="Y48" s="176">
        <f>USD!Y49</f>
        <v>1</v>
      </c>
      <c r="Z48" s="176">
        <f>USD!Z49</f>
        <v>0.9</v>
      </c>
      <c r="AA48" s="176">
        <f>USD!AA49</f>
        <v>0.85</v>
      </c>
    </row>
    <row r="49" spans="15:27" ht="12.75">
      <c r="O49" s="87" t="str">
        <f>USD!O50</f>
        <v>Костромская область (не включая г. Кострома)</v>
      </c>
      <c r="P49" s="88">
        <f>USD!P50</f>
        <v>100</v>
      </c>
      <c r="Q49" s="88">
        <f>USD!Q50</f>
        <v>85</v>
      </c>
      <c r="R49" s="176">
        <f>USD!R50</f>
        <v>0.85</v>
      </c>
      <c r="S49" s="176">
        <f>USD!S50</f>
        <v>0.85</v>
      </c>
      <c r="T49" s="176">
        <f>USD!T50</f>
        <v>0.7</v>
      </c>
      <c r="U49" s="176">
        <f>USD!U50</f>
        <v>0.85</v>
      </c>
      <c r="V49" s="176">
        <f>USD!V50</f>
        <v>0.7</v>
      </c>
      <c r="W49" s="176">
        <f>USD!W50</f>
        <v>0.85</v>
      </c>
      <c r="X49" s="176">
        <f>USD!X50</f>
        <v>0.95</v>
      </c>
      <c r="Y49" s="176">
        <f>USD!Y50</f>
        <v>1</v>
      </c>
      <c r="Z49" s="176">
        <f>USD!Z50</f>
        <v>0.9</v>
      </c>
      <c r="AA49" s="176">
        <f>USD!AA50</f>
        <v>0.85</v>
      </c>
    </row>
    <row r="50" spans="15:27" ht="12.75">
      <c r="O50" s="87" t="str">
        <f>USD!O51</f>
        <v>г. Кострома</v>
      </c>
      <c r="P50" s="88">
        <f>USD!P51</f>
        <v>100</v>
      </c>
      <c r="Q50" s="88">
        <f>USD!Q51</f>
        <v>85</v>
      </c>
      <c r="R50" s="176">
        <f>USD!R51</f>
        <v>0.9</v>
      </c>
      <c r="S50" s="176">
        <f>USD!S51</f>
        <v>0.85</v>
      </c>
      <c r="T50" s="176">
        <f>USD!T51</f>
        <v>0.7</v>
      </c>
      <c r="U50" s="176">
        <f>USD!U51</f>
        <v>0.85</v>
      </c>
      <c r="V50" s="176">
        <f>USD!V51</f>
        <v>0.7</v>
      </c>
      <c r="W50" s="176">
        <f>USD!W51</f>
        <v>0.9</v>
      </c>
      <c r="X50" s="176">
        <f>USD!X51</f>
        <v>0.95</v>
      </c>
      <c r="Y50" s="176">
        <f>USD!Y51</f>
        <v>1</v>
      </c>
      <c r="Z50" s="176">
        <f>USD!Z51</f>
        <v>0.9</v>
      </c>
      <c r="AA50" s="176">
        <f>USD!AA51</f>
        <v>0.85</v>
      </c>
    </row>
    <row r="51" spans="15:27" ht="12.75">
      <c r="O51" s="87" t="str">
        <f>USD!O52</f>
        <v>Краснодарский край (не включая г. Краснодар и г. Сочи)</v>
      </c>
      <c r="P51" s="88">
        <f>USD!P52</f>
        <v>100</v>
      </c>
      <c r="Q51" s="88">
        <f>USD!Q52</f>
        <v>85</v>
      </c>
      <c r="R51" s="176">
        <f>USD!R52</f>
        <v>0.85</v>
      </c>
      <c r="S51" s="176">
        <f>USD!S52</f>
        <v>0.85</v>
      </c>
      <c r="T51" s="176">
        <f>USD!T52</f>
        <v>0.7</v>
      </c>
      <c r="U51" s="176">
        <f>USD!U52</f>
        <v>0.85</v>
      </c>
      <c r="V51" s="176">
        <f>USD!V52</f>
        <v>0.7</v>
      </c>
      <c r="W51" s="176">
        <f>USD!W52</f>
        <v>0.85</v>
      </c>
      <c r="X51" s="176">
        <f>USD!X52</f>
        <v>0.95</v>
      </c>
      <c r="Y51" s="176">
        <f>USD!Y52</f>
        <v>1</v>
      </c>
      <c r="Z51" s="176">
        <f>USD!Z52</f>
        <v>0.9</v>
      </c>
      <c r="AA51" s="176">
        <f>USD!AA52</f>
        <v>0.85</v>
      </c>
    </row>
    <row r="52" spans="15:27" ht="12.75">
      <c r="O52" s="87" t="str">
        <f>USD!O53</f>
        <v>г. Краснодар</v>
      </c>
      <c r="P52" s="88">
        <f>USD!P53</f>
        <v>100</v>
      </c>
      <c r="Q52" s="88">
        <f>USD!Q53</f>
        <v>85</v>
      </c>
      <c r="R52" s="176">
        <f>USD!R53</f>
        <v>0.9</v>
      </c>
      <c r="S52" s="176">
        <f>USD!S53</f>
        <v>0.85</v>
      </c>
      <c r="T52" s="176">
        <f>USD!T53</f>
        <v>0.7</v>
      </c>
      <c r="U52" s="176">
        <f>USD!U53</f>
        <v>0.85</v>
      </c>
      <c r="V52" s="176">
        <f>USD!V53</f>
        <v>0.7</v>
      </c>
      <c r="W52" s="176">
        <f>USD!W53</f>
        <v>0.9</v>
      </c>
      <c r="X52" s="176">
        <f>USD!X53</f>
        <v>0.95</v>
      </c>
      <c r="Y52" s="176">
        <f>USD!Y53</f>
        <v>1</v>
      </c>
      <c r="Z52" s="176">
        <f>USD!Z53</f>
        <v>0.9</v>
      </c>
      <c r="AA52" s="176">
        <f>USD!AA53</f>
        <v>0.85</v>
      </c>
    </row>
    <row r="53" spans="15:27" ht="12.75">
      <c r="O53" s="87" t="str">
        <f>USD!O54</f>
        <v>г. Сочи</v>
      </c>
      <c r="P53" s="88">
        <f>USD!P54</f>
        <v>100</v>
      </c>
      <c r="Q53" s="88">
        <f>USD!Q54</f>
        <v>85</v>
      </c>
      <c r="R53" s="176">
        <f>USD!R54</f>
        <v>0.9</v>
      </c>
      <c r="S53" s="176">
        <f>USD!S54</f>
        <v>0.85</v>
      </c>
      <c r="T53" s="176">
        <f>USD!T54</f>
        <v>0.7</v>
      </c>
      <c r="U53" s="176">
        <f>USD!U54</f>
        <v>0.85</v>
      </c>
      <c r="V53" s="176">
        <f>USD!V54</f>
        <v>0.7</v>
      </c>
      <c r="W53" s="176">
        <f>USD!W54</f>
        <v>0.9</v>
      </c>
      <c r="X53" s="176">
        <f>USD!X54</f>
        <v>0.95</v>
      </c>
      <c r="Y53" s="176">
        <f>USD!Y54</f>
        <v>1</v>
      </c>
      <c r="Z53" s="176">
        <f>USD!Z54</f>
        <v>0.9</v>
      </c>
      <c r="AA53" s="176">
        <f>USD!AA54</f>
        <v>0.85</v>
      </c>
    </row>
    <row r="54" spans="15:27" ht="12.75">
      <c r="O54" s="87" t="str">
        <f>USD!O55</f>
        <v>Красноярский край (не включая г. Красноярск)</v>
      </c>
      <c r="P54" s="88">
        <f>USD!P55</f>
        <v>100</v>
      </c>
      <c r="Q54" s="88">
        <f>USD!Q55</f>
        <v>85</v>
      </c>
      <c r="R54" s="176">
        <f>USD!R55</f>
        <v>0.85</v>
      </c>
      <c r="S54" s="176">
        <f>USD!S55</f>
        <v>0.85</v>
      </c>
      <c r="T54" s="176">
        <f>USD!T55</f>
        <v>0.7</v>
      </c>
      <c r="U54" s="176">
        <f>USD!U55</f>
        <v>0.85</v>
      </c>
      <c r="V54" s="176">
        <f>USD!V55</f>
        <v>0.7</v>
      </c>
      <c r="W54" s="176">
        <f>USD!W55</f>
        <v>0.85</v>
      </c>
      <c r="X54" s="176">
        <f>USD!X55</f>
        <v>0.95</v>
      </c>
      <c r="Y54" s="176">
        <f>USD!Y55</f>
        <v>1</v>
      </c>
      <c r="Z54" s="176">
        <f>USD!Z55</f>
        <v>0.9</v>
      </c>
      <c r="AA54" s="176">
        <f>USD!AA55</f>
        <v>0.85</v>
      </c>
    </row>
    <row r="55" spans="15:27" ht="12.75">
      <c r="O55" s="87" t="str">
        <f>USD!O56</f>
        <v>г. Красноярск</v>
      </c>
      <c r="P55" s="88">
        <f>USD!P56</f>
        <v>100</v>
      </c>
      <c r="Q55" s="88">
        <f>USD!Q56</f>
        <v>85</v>
      </c>
      <c r="R55" s="176">
        <f>USD!R56</f>
        <v>1</v>
      </c>
      <c r="S55" s="176">
        <f>USD!S56</f>
        <v>0.95</v>
      </c>
      <c r="T55" s="176">
        <f>USD!T56</f>
        <v>0.9</v>
      </c>
      <c r="U55" s="176">
        <f>USD!U56</f>
        <v>0.95</v>
      </c>
      <c r="V55" s="176">
        <f>USD!V56</f>
        <v>0.95</v>
      </c>
      <c r="W55" s="176">
        <f>USD!W56</f>
        <v>1</v>
      </c>
      <c r="X55" s="176">
        <f>USD!X56</f>
        <v>0.95</v>
      </c>
      <c r="Y55" s="176">
        <f>USD!Y56</f>
        <v>1</v>
      </c>
      <c r="Z55" s="176">
        <f>USD!Z56</f>
        <v>0.9</v>
      </c>
      <c r="AA55" s="176">
        <f>USD!AA56</f>
        <v>0.85</v>
      </c>
    </row>
    <row r="56" spans="15:27" ht="12.75">
      <c r="O56" s="87" t="str">
        <f>USD!O57</f>
        <v>Курская область (не включая г. Курск)</v>
      </c>
      <c r="P56" s="88">
        <f>USD!P57</f>
        <v>100</v>
      </c>
      <c r="Q56" s="88">
        <f>USD!Q57</f>
        <v>85</v>
      </c>
      <c r="R56" s="176">
        <f>USD!R57</f>
        <v>0.85</v>
      </c>
      <c r="S56" s="176">
        <f>USD!S57</f>
        <v>0.85</v>
      </c>
      <c r="T56" s="176">
        <f>USD!T57</f>
        <v>0.7</v>
      </c>
      <c r="U56" s="176">
        <f>USD!U57</f>
        <v>0.85</v>
      </c>
      <c r="V56" s="176">
        <f>USD!V57</f>
        <v>0.7</v>
      </c>
      <c r="W56" s="176">
        <f>USD!W57</f>
        <v>0.85</v>
      </c>
      <c r="X56" s="176">
        <f>USD!X57</f>
        <v>0.95</v>
      </c>
      <c r="Y56" s="176">
        <f>USD!Y57</f>
        <v>1</v>
      </c>
      <c r="Z56" s="176">
        <f>USD!Z57</f>
        <v>0.9</v>
      </c>
      <c r="AA56" s="176">
        <f>USD!AA57</f>
        <v>0.85</v>
      </c>
    </row>
    <row r="57" spans="15:27" ht="12.75">
      <c r="O57" s="87" t="str">
        <f>USD!O58</f>
        <v>г. Курск</v>
      </c>
      <c r="P57" s="88">
        <f>USD!P58</f>
        <v>100</v>
      </c>
      <c r="Q57" s="88">
        <f>USD!Q58</f>
        <v>85</v>
      </c>
      <c r="R57" s="176">
        <f>USD!R58</f>
        <v>0.9</v>
      </c>
      <c r="S57" s="176">
        <f>USD!S58</f>
        <v>0.85</v>
      </c>
      <c r="T57" s="176">
        <f>USD!T58</f>
        <v>0.7</v>
      </c>
      <c r="U57" s="176">
        <f>USD!U58</f>
        <v>0.85</v>
      </c>
      <c r="V57" s="176">
        <f>USD!V58</f>
        <v>0.7</v>
      </c>
      <c r="W57" s="176">
        <f>USD!W58</f>
        <v>0.9</v>
      </c>
      <c r="X57" s="176">
        <f>USD!X58</f>
        <v>0.95</v>
      </c>
      <c r="Y57" s="176">
        <f>USD!Y58</f>
        <v>1</v>
      </c>
      <c r="Z57" s="176">
        <f>USD!Z58</f>
        <v>0.9</v>
      </c>
      <c r="AA57" s="176">
        <f>USD!AA58</f>
        <v>0.85</v>
      </c>
    </row>
    <row r="58" spans="15:27" ht="12.75">
      <c r="O58" s="87" t="str">
        <f>USD!O59</f>
        <v>Ленинградская область (включая г. Санкт-Петербург)</v>
      </c>
      <c r="P58" s="88">
        <f>USD!P59</f>
        <v>120</v>
      </c>
      <c r="Q58" s="88">
        <f>USD!Q59</f>
        <v>100</v>
      </c>
      <c r="R58" s="176">
        <f>USD!R59</f>
        <v>1</v>
      </c>
      <c r="S58" s="176">
        <f>USD!S59</f>
        <v>0.95</v>
      </c>
      <c r="T58" s="176">
        <f>USD!T59</f>
        <v>0.9</v>
      </c>
      <c r="U58" s="176">
        <f>USD!U59</f>
        <v>0.95</v>
      </c>
      <c r="V58" s="176">
        <f>USD!V59</f>
        <v>0.95</v>
      </c>
      <c r="W58" s="176">
        <f>USD!W59</f>
        <v>1</v>
      </c>
      <c r="X58" s="176">
        <f>USD!X59</f>
        <v>0.95</v>
      </c>
      <c r="Y58" s="176">
        <f>USD!Y59</f>
        <v>1</v>
      </c>
      <c r="Z58" s="176">
        <f>USD!Z59</f>
        <v>0.9</v>
      </c>
      <c r="AA58" s="176">
        <f>USD!AA59</f>
        <v>0.85</v>
      </c>
    </row>
    <row r="59" spans="15:27" ht="12.75">
      <c r="O59" s="87" t="str">
        <f>USD!O60</f>
        <v>Липецкая область (не включая г. Липецк)</v>
      </c>
      <c r="P59" s="88">
        <f>USD!P60</f>
        <v>100</v>
      </c>
      <c r="Q59" s="88">
        <f>USD!Q60</f>
        <v>85</v>
      </c>
      <c r="R59" s="176">
        <f>USD!R60</f>
        <v>0.85</v>
      </c>
      <c r="S59" s="176">
        <f>USD!S60</f>
        <v>0.85</v>
      </c>
      <c r="T59" s="176">
        <f>USD!T60</f>
        <v>0.7</v>
      </c>
      <c r="U59" s="176">
        <f>USD!U60</f>
        <v>0.85</v>
      </c>
      <c r="V59" s="176">
        <f>USD!V60</f>
        <v>0.7</v>
      </c>
      <c r="W59" s="176">
        <f>USD!W60</f>
        <v>0.85</v>
      </c>
      <c r="X59" s="176">
        <f>USD!X60</f>
        <v>0.95</v>
      </c>
      <c r="Y59" s="176">
        <f>USD!Y60</f>
        <v>1</v>
      </c>
      <c r="Z59" s="176">
        <f>USD!Z60</f>
        <v>0.9</v>
      </c>
      <c r="AA59" s="176">
        <f>USD!AA60</f>
        <v>0.85</v>
      </c>
    </row>
    <row r="60" spans="15:27" ht="12.75">
      <c r="O60" s="87" t="str">
        <f>USD!O61</f>
        <v>г. Липецк</v>
      </c>
      <c r="P60" s="88">
        <f>USD!P61</f>
        <v>100</v>
      </c>
      <c r="Q60" s="88">
        <f>USD!Q61</f>
        <v>85</v>
      </c>
      <c r="R60" s="176">
        <f>USD!R61</f>
        <v>0.9</v>
      </c>
      <c r="S60" s="176">
        <f>USD!S61</f>
        <v>0.85</v>
      </c>
      <c r="T60" s="176">
        <f>USD!T61</f>
        <v>0.7</v>
      </c>
      <c r="U60" s="176">
        <f>USD!U61</f>
        <v>0.85</v>
      </c>
      <c r="V60" s="176">
        <f>USD!V61</f>
        <v>0.7</v>
      </c>
      <c r="W60" s="176">
        <f>USD!W61</f>
        <v>0.9</v>
      </c>
      <c r="X60" s="176">
        <f>USD!X61</f>
        <v>0.95</v>
      </c>
      <c r="Y60" s="176">
        <f>USD!Y61</f>
        <v>1</v>
      </c>
      <c r="Z60" s="176">
        <f>USD!Z61</f>
        <v>0.9</v>
      </c>
      <c r="AA60" s="176">
        <f>USD!AA61</f>
        <v>0.85</v>
      </c>
    </row>
    <row r="61" spans="15:27" ht="12.75">
      <c r="O61" s="87" t="str">
        <f>USD!O62</f>
        <v>Нижегородская область (не включая г. Нижний Новгород)</v>
      </c>
      <c r="P61" s="88">
        <f>USD!P62</f>
        <v>100</v>
      </c>
      <c r="Q61" s="88">
        <f>USD!Q62</f>
        <v>85</v>
      </c>
      <c r="R61" s="176">
        <f>USD!R62</f>
        <v>0.85</v>
      </c>
      <c r="S61" s="176">
        <f>USD!S62</f>
        <v>0.85</v>
      </c>
      <c r="T61" s="176">
        <f>USD!T62</f>
        <v>0.7</v>
      </c>
      <c r="U61" s="176">
        <f>USD!U62</f>
        <v>0.85</v>
      </c>
      <c r="V61" s="176">
        <f>USD!V62</f>
        <v>0.7</v>
      </c>
      <c r="W61" s="176">
        <f>USD!W62</f>
        <v>0.85</v>
      </c>
      <c r="X61" s="176">
        <f>USD!X62</f>
        <v>0.95</v>
      </c>
      <c r="Y61" s="176">
        <f>USD!Y62</f>
        <v>1</v>
      </c>
      <c r="Z61" s="176">
        <f>USD!Z62</f>
        <v>0.9</v>
      </c>
      <c r="AA61" s="176">
        <f>USD!AA62</f>
        <v>0.85</v>
      </c>
    </row>
    <row r="62" spans="15:27" ht="12.75">
      <c r="O62" s="87" t="str">
        <f>USD!O63</f>
        <v>г. Нижний Новгород</v>
      </c>
      <c r="P62" s="88">
        <f>USD!P63</f>
        <v>100</v>
      </c>
      <c r="Q62" s="88">
        <f>USD!Q63</f>
        <v>85</v>
      </c>
      <c r="R62" s="176">
        <f>USD!R63</f>
        <v>1</v>
      </c>
      <c r="S62" s="176">
        <f>USD!S63</f>
        <v>0.95</v>
      </c>
      <c r="T62" s="176">
        <f>USD!T63</f>
        <v>0.9</v>
      </c>
      <c r="U62" s="176">
        <f>USD!U63</f>
        <v>0.95</v>
      </c>
      <c r="V62" s="176">
        <f>USD!V63</f>
        <v>0.95</v>
      </c>
      <c r="W62" s="176">
        <f>USD!W63</f>
        <v>1</v>
      </c>
      <c r="X62" s="176">
        <f>USD!X63</f>
        <v>0.95</v>
      </c>
      <c r="Y62" s="176">
        <f>USD!Y63</f>
        <v>1</v>
      </c>
      <c r="Z62" s="176">
        <f>USD!Z63</f>
        <v>0.9</v>
      </c>
      <c r="AA62" s="176">
        <f>USD!AA63</f>
        <v>0.85</v>
      </c>
    </row>
    <row r="63" spans="15:27" ht="12.75">
      <c r="O63" s="87" t="str">
        <f>USD!O64</f>
        <v>Новосибирская область (не включая г. Новосибирск)</v>
      </c>
      <c r="P63" s="88">
        <f>USD!P64</f>
        <v>100</v>
      </c>
      <c r="Q63" s="88">
        <f>USD!Q64</f>
        <v>85</v>
      </c>
      <c r="R63" s="176">
        <f>USD!R64</f>
        <v>0.85</v>
      </c>
      <c r="S63" s="176">
        <f>USD!S64</f>
        <v>0.85</v>
      </c>
      <c r="T63" s="176">
        <f>USD!T64</f>
        <v>0.7</v>
      </c>
      <c r="U63" s="176">
        <f>USD!U64</f>
        <v>0.85</v>
      </c>
      <c r="V63" s="176">
        <f>USD!V64</f>
        <v>0.7</v>
      </c>
      <c r="W63" s="176">
        <f>USD!W64</f>
        <v>0.85</v>
      </c>
      <c r="X63" s="176">
        <f>USD!X64</f>
        <v>0.95</v>
      </c>
      <c r="Y63" s="176">
        <f>USD!Y64</f>
        <v>1</v>
      </c>
      <c r="Z63" s="176">
        <f>USD!Z64</f>
        <v>0.9</v>
      </c>
      <c r="AA63" s="176">
        <f>USD!AA64</f>
        <v>0.85</v>
      </c>
    </row>
    <row r="64" spans="15:27" ht="12.75">
      <c r="O64" s="87" t="str">
        <f>USD!O65</f>
        <v>г. Новосибирск</v>
      </c>
      <c r="P64" s="88">
        <f>USD!P65</f>
        <v>100</v>
      </c>
      <c r="Q64" s="88">
        <f>USD!Q65</f>
        <v>85</v>
      </c>
      <c r="R64" s="176">
        <f>USD!R65</f>
        <v>1</v>
      </c>
      <c r="S64" s="176">
        <f>USD!S65</f>
        <v>0.95</v>
      </c>
      <c r="T64" s="176">
        <f>USD!T65</f>
        <v>0.9</v>
      </c>
      <c r="U64" s="176">
        <f>USD!U65</f>
        <v>0.95</v>
      </c>
      <c r="V64" s="176">
        <f>USD!V65</f>
        <v>0.95</v>
      </c>
      <c r="W64" s="176">
        <f>USD!W65</f>
        <v>1</v>
      </c>
      <c r="X64" s="176">
        <f>USD!X65</f>
        <v>0.95</v>
      </c>
      <c r="Y64" s="176">
        <f>USD!Y65</f>
        <v>1</v>
      </c>
      <c r="Z64" s="176">
        <f>USD!Z65</f>
        <v>0.9</v>
      </c>
      <c r="AA64" s="176">
        <f>USD!AA65</f>
        <v>0.85</v>
      </c>
    </row>
    <row r="65" spans="15:27" ht="12.75">
      <c r="O65" s="87" t="str">
        <f>USD!O66</f>
        <v>Омская область (не включая г. Омск)</v>
      </c>
      <c r="P65" s="88">
        <f>USD!P66</f>
        <v>100</v>
      </c>
      <c r="Q65" s="88">
        <f>USD!Q66</f>
        <v>85</v>
      </c>
      <c r="R65" s="176">
        <f>USD!R66</f>
        <v>0.85</v>
      </c>
      <c r="S65" s="176">
        <f>USD!S66</f>
        <v>0.85</v>
      </c>
      <c r="T65" s="176">
        <f>USD!T66</f>
        <v>0.7</v>
      </c>
      <c r="U65" s="176">
        <f>USD!U66</f>
        <v>0.85</v>
      </c>
      <c r="V65" s="176">
        <f>USD!V66</f>
        <v>0.7</v>
      </c>
      <c r="W65" s="176">
        <f>USD!W66</f>
        <v>0.85</v>
      </c>
      <c r="X65" s="176">
        <f>USD!X66</f>
        <v>0.95</v>
      </c>
      <c r="Y65" s="176">
        <f>USD!Y66</f>
        <v>1</v>
      </c>
      <c r="Z65" s="176">
        <f>USD!Z66</f>
        <v>0.9</v>
      </c>
      <c r="AA65" s="176">
        <f>USD!AA66</f>
        <v>0.85</v>
      </c>
    </row>
    <row r="66" spans="15:27" ht="12.75">
      <c r="O66" s="87" t="str">
        <f>USD!O67</f>
        <v>г. Омск</v>
      </c>
      <c r="P66" s="88">
        <f>USD!P67</f>
        <v>100</v>
      </c>
      <c r="Q66" s="88">
        <f>USD!Q67</f>
        <v>85</v>
      </c>
      <c r="R66" s="176">
        <f>USD!R67</f>
        <v>0.9</v>
      </c>
      <c r="S66" s="176">
        <f>USD!S67</f>
        <v>0.85</v>
      </c>
      <c r="T66" s="176">
        <f>USD!T67</f>
        <v>0.7</v>
      </c>
      <c r="U66" s="176">
        <f>USD!U67</f>
        <v>0.85</v>
      </c>
      <c r="V66" s="176">
        <f>USD!V67</f>
        <v>0.7</v>
      </c>
      <c r="W66" s="176">
        <f>USD!W67</f>
        <v>0.9</v>
      </c>
      <c r="X66" s="176">
        <f>USD!X67</f>
        <v>0.95</v>
      </c>
      <c r="Y66" s="176">
        <f>USD!Y67</f>
        <v>1</v>
      </c>
      <c r="Z66" s="176">
        <f>USD!Z67</f>
        <v>0.9</v>
      </c>
      <c r="AA66" s="176">
        <f>USD!AA67</f>
        <v>0.85</v>
      </c>
    </row>
    <row r="67" spans="15:27" ht="12.75">
      <c r="O67" s="87" t="str">
        <f>USD!O68</f>
        <v>Пермский край (не включая г. Пермь)</v>
      </c>
      <c r="P67" s="88">
        <f>USD!P68</f>
        <v>100</v>
      </c>
      <c r="Q67" s="88">
        <f>USD!Q68</f>
        <v>85</v>
      </c>
      <c r="R67" s="176">
        <f>USD!R68</f>
        <v>0.85</v>
      </c>
      <c r="S67" s="176">
        <f>USD!S68</f>
        <v>0.85</v>
      </c>
      <c r="T67" s="176">
        <f>USD!T68</f>
        <v>0.7</v>
      </c>
      <c r="U67" s="176">
        <f>USD!U68</f>
        <v>0.85</v>
      </c>
      <c r="V67" s="176">
        <f>USD!V68</f>
        <v>0.7</v>
      </c>
      <c r="W67" s="176">
        <f>USD!W68</f>
        <v>0.85</v>
      </c>
      <c r="X67" s="176">
        <f>USD!X68</f>
        <v>0.95</v>
      </c>
      <c r="Y67" s="176">
        <f>USD!Y68</f>
        <v>1</v>
      </c>
      <c r="Z67" s="176">
        <f>USD!Z68</f>
        <v>0.9</v>
      </c>
      <c r="AA67" s="176">
        <f>USD!AA68</f>
        <v>0.85</v>
      </c>
    </row>
    <row r="68" spans="15:27" ht="12.75">
      <c r="O68" s="87" t="str">
        <f>USD!O69</f>
        <v>г. Пермь</v>
      </c>
      <c r="P68" s="88">
        <f>USD!P69</f>
        <v>100</v>
      </c>
      <c r="Q68" s="88">
        <f>USD!Q69</f>
        <v>85</v>
      </c>
      <c r="R68" s="176">
        <f>USD!R69</f>
        <v>0.9</v>
      </c>
      <c r="S68" s="176">
        <f>USD!S69</f>
        <v>0.85</v>
      </c>
      <c r="T68" s="176">
        <f>USD!T69</f>
        <v>0.7</v>
      </c>
      <c r="U68" s="176">
        <f>USD!U69</f>
        <v>0.85</v>
      </c>
      <c r="V68" s="176">
        <f>USD!V69</f>
        <v>0.7</v>
      </c>
      <c r="W68" s="176">
        <f>USD!W69</f>
        <v>0.9</v>
      </c>
      <c r="X68" s="176">
        <f>USD!X69</f>
        <v>0.95</v>
      </c>
      <c r="Y68" s="176">
        <f>USD!Y69</f>
        <v>1</v>
      </c>
      <c r="Z68" s="176">
        <f>USD!Z69</f>
        <v>0.9</v>
      </c>
      <c r="AA68" s="176">
        <f>USD!AA69</f>
        <v>0.85</v>
      </c>
    </row>
    <row r="69" spans="15:27" ht="12.75">
      <c r="O69" s="87" t="str">
        <f>USD!O70</f>
        <v>Приморский край (включая г. Владивосток)</v>
      </c>
      <c r="P69" s="88">
        <f>USD!P70</f>
        <v>120</v>
      </c>
      <c r="Q69" s="88">
        <f>USD!Q70</f>
        <v>100</v>
      </c>
      <c r="R69" s="176">
        <f>USD!R70</f>
        <v>0.85</v>
      </c>
      <c r="S69" s="176">
        <f>USD!S70</f>
        <v>0.85</v>
      </c>
      <c r="T69" s="176">
        <f>USD!T70</f>
        <v>0.7</v>
      </c>
      <c r="U69" s="176">
        <f>USD!U70</f>
        <v>0.85</v>
      </c>
      <c r="V69" s="176">
        <f>USD!V70</f>
        <v>0.7</v>
      </c>
      <c r="W69" s="176">
        <f>USD!W70</f>
        <v>0.85</v>
      </c>
      <c r="X69" s="176">
        <f>USD!X70</f>
        <v>0.95</v>
      </c>
      <c r="Y69" s="176">
        <f>USD!Y70</f>
        <v>1</v>
      </c>
      <c r="Z69" s="176">
        <f>USD!Z70</f>
        <v>0.9</v>
      </c>
      <c r="AA69" s="176">
        <f>USD!AA70</f>
        <v>0.85</v>
      </c>
    </row>
    <row r="70" spans="15:27" ht="12.75">
      <c r="O70" s="87" t="str">
        <f>USD!O71</f>
        <v>Республика Коми (не включая г. Сыктывкар)</v>
      </c>
      <c r="P70" s="88">
        <f>USD!P71</f>
        <v>100</v>
      </c>
      <c r="Q70" s="88">
        <f>USD!Q71</f>
        <v>85</v>
      </c>
      <c r="R70" s="176">
        <f>USD!R71</f>
        <v>0.85</v>
      </c>
      <c r="S70" s="176">
        <f>USD!S71</f>
        <v>0.85</v>
      </c>
      <c r="T70" s="176">
        <f>USD!T71</f>
        <v>0.7</v>
      </c>
      <c r="U70" s="176">
        <f>USD!U71</f>
        <v>0.85</v>
      </c>
      <c r="V70" s="176">
        <f>USD!V71</f>
        <v>0.7</v>
      </c>
      <c r="W70" s="176">
        <f>USD!W71</f>
        <v>0.85</v>
      </c>
      <c r="X70" s="176">
        <f>USD!X71</f>
        <v>0.95</v>
      </c>
      <c r="Y70" s="176">
        <f>USD!Y71</f>
        <v>1</v>
      </c>
      <c r="Z70" s="176">
        <f>USD!Z71</f>
        <v>0.9</v>
      </c>
      <c r="AA70" s="176">
        <f>USD!AA71</f>
        <v>0.85</v>
      </c>
    </row>
    <row r="71" spans="15:27" ht="12.75">
      <c r="O71" s="87" t="str">
        <f>USD!O72</f>
        <v>г. Сыктывкар</v>
      </c>
      <c r="P71" s="88">
        <f>USD!P72</f>
        <v>100</v>
      </c>
      <c r="Q71" s="88">
        <f>USD!Q72</f>
        <v>85</v>
      </c>
      <c r="R71" s="176">
        <f>USD!R72</f>
        <v>0.9</v>
      </c>
      <c r="S71" s="176">
        <f>USD!S72</f>
        <v>0.85</v>
      </c>
      <c r="T71" s="176">
        <f>USD!T72</f>
        <v>0.7</v>
      </c>
      <c r="U71" s="176">
        <f>USD!U72</f>
        <v>0.85</v>
      </c>
      <c r="V71" s="176">
        <f>USD!V72</f>
        <v>0.7</v>
      </c>
      <c r="W71" s="176">
        <f>USD!W72</f>
        <v>0.9</v>
      </c>
      <c r="X71" s="176">
        <f>USD!X72</f>
        <v>0.95</v>
      </c>
      <c r="Y71" s="176">
        <f>USD!Y72</f>
        <v>1</v>
      </c>
      <c r="Z71" s="176">
        <f>USD!Z72</f>
        <v>0.9</v>
      </c>
      <c r="AA71" s="176">
        <f>USD!AA72</f>
        <v>0.85</v>
      </c>
    </row>
    <row r="72" spans="15:27" ht="12.75">
      <c r="O72" s="87" t="str">
        <f>USD!O73</f>
        <v>Республика Марий Эл (не включая г. Йошкар-Олу)</v>
      </c>
      <c r="P72" s="88">
        <f>USD!P73</f>
        <v>100</v>
      </c>
      <c r="Q72" s="88">
        <f>USD!Q73</f>
        <v>85</v>
      </c>
      <c r="R72" s="176">
        <f>USD!R73</f>
        <v>0.85</v>
      </c>
      <c r="S72" s="176">
        <f>USD!S73</f>
        <v>0.85</v>
      </c>
      <c r="T72" s="176">
        <f>USD!T73</f>
        <v>0.7</v>
      </c>
      <c r="U72" s="176">
        <f>USD!U73</f>
        <v>0.85</v>
      </c>
      <c r="V72" s="176">
        <f>USD!V73</f>
        <v>0.7</v>
      </c>
      <c r="W72" s="176">
        <f>USD!W73</f>
        <v>0.85</v>
      </c>
      <c r="X72" s="176">
        <f>USD!X73</f>
        <v>0.95</v>
      </c>
      <c r="Y72" s="176">
        <f>USD!Y73</f>
        <v>1</v>
      </c>
      <c r="Z72" s="176">
        <f>USD!Z73</f>
        <v>0.9</v>
      </c>
      <c r="AA72" s="176">
        <f>USD!AA73</f>
        <v>0.85</v>
      </c>
    </row>
    <row r="73" spans="15:27" ht="12.75">
      <c r="O73" s="87" t="str">
        <f>USD!O74</f>
        <v>г. Йошкар-Ола</v>
      </c>
      <c r="P73" s="88">
        <f>USD!P74</f>
        <v>100</v>
      </c>
      <c r="Q73" s="88">
        <f>USD!Q74</f>
        <v>85</v>
      </c>
      <c r="R73" s="176">
        <f>USD!R74</f>
        <v>0.9</v>
      </c>
      <c r="S73" s="176">
        <f>USD!S74</f>
        <v>0.85</v>
      </c>
      <c r="T73" s="176">
        <f>USD!T74</f>
        <v>0.7</v>
      </c>
      <c r="U73" s="176">
        <f>USD!U74</f>
        <v>0.85</v>
      </c>
      <c r="V73" s="176">
        <f>USD!V74</f>
        <v>0.7</v>
      </c>
      <c r="W73" s="176">
        <f>USD!W74</f>
        <v>0.9</v>
      </c>
      <c r="X73" s="176">
        <f>USD!X74</f>
        <v>0.95</v>
      </c>
      <c r="Y73" s="176">
        <f>USD!Y74</f>
        <v>1</v>
      </c>
      <c r="Z73" s="176">
        <f>USD!Z74</f>
        <v>0.9</v>
      </c>
      <c r="AA73" s="176">
        <f>USD!AA74</f>
        <v>0.85</v>
      </c>
    </row>
    <row r="74" spans="15:27" ht="12.75">
      <c r="O74" s="87" t="str">
        <f>USD!O75</f>
        <v>Республика Саха (Якутия) (не включая г. Якутск)</v>
      </c>
      <c r="P74" s="88">
        <f>USD!P75</f>
        <v>120</v>
      </c>
      <c r="Q74" s="88">
        <f>USD!Q75</f>
        <v>100</v>
      </c>
      <c r="R74" s="176">
        <f>USD!R75</f>
        <v>0.85</v>
      </c>
      <c r="S74" s="176">
        <f>USD!S75</f>
        <v>0.85</v>
      </c>
      <c r="T74" s="176">
        <f>USD!T75</f>
        <v>0.7</v>
      </c>
      <c r="U74" s="176">
        <f>USD!U75</f>
        <v>0.85</v>
      </c>
      <c r="V74" s="176">
        <f>USD!V75</f>
        <v>0.7</v>
      </c>
      <c r="W74" s="176">
        <f>USD!W75</f>
        <v>0.85</v>
      </c>
      <c r="X74" s="176">
        <f>USD!X75</f>
        <v>0.95</v>
      </c>
      <c r="Y74" s="176">
        <f>USD!Y75</f>
        <v>1</v>
      </c>
      <c r="Z74" s="176">
        <f>USD!Z75</f>
        <v>0.9</v>
      </c>
      <c r="AA74" s="176">
        <f>USD!AA75</f>
        <v>0.85</v>
      </c>
    </row>
    <row r="75" spans="15:27" ht="12.75">
      <c r="O75" s="87" t="str">
        <f>USD!O76</f>
        <v>г. Якутск</v>
      </c>
      <c r="P75" s="88">
        <f>USD!P76</f>
        <v>120</v>
      </c>
      <c r="Q75" s="88">
        <f>USD!Q76</f>
        <v>100</v>
      </c>
      <c r="R75" s="176">
        <f>USD!R76</f>
        <v>0.9</v>
      </c>
      <c r="S75" s="176">
        <f>USD!S76</f>
        <v>0.85</v>
      </c>
      <c r="T75" s="176">
        <f>USD!T76</f>
        <v>0.7</v>
      </c>
      <c r="U75" s="176">
        <f>USD!U76</f>
        <v>0.85</v>
      </c>
      <c r="V75" s="176">
        <f>USD!V76</f>
        <v>0.7</v>
      </c>
      <c r="W75" s="176">
        <f>USD!W76</f>
        <v>0.9</v>
      </c>
      <c r="X75" s="176">
        <f>USD!X76</f>
        <v>0.95</v>
      </c>
      <c r="Y75" s="176">
        <f>USD!Y76</f>
        <v>1</v>
      </c>
      <c r="Z75" s="176">
        <f>USD!Z76</f>
        <v>0.9</v>
      </c>
      <c r="AA75" s="176">
        <f>USD!AA76</f>
        <v>0.85</v>
      </c>
    </row>
    <row r="76" spans="15:27" ht="12.75">
      <c r="O76" s="87" t="str">
        <f>USD!O77</f>
        <v>Республика Татарстан (не включая г. Казань)</v>
      </c>
      <c r="P76" s="88">
        <f>USD!P77</f>
        <v>100</v>
      </c>
      <c r="Q76" s="88">
        <f>USD!Q77</f>
        <v>85</v>
      </c>
      <c r="R76" s="176">
        <f>USD!R77</f>
        <v>0.85</v>
      </c>
      <c r="S76" s="176">
        <f>USD!S77</f>
        <v>0.85</v>
      </c>
      <c r="T76" s="176">
        <f>USD!T77</f>
        <v>0.7</v>
      </c>
      <c r="U76" s="176">
        <f>USD!U77</f>
        <v>0.85</v>
      </c>
      <c r="V76" s="176">
        <f>USD!V77</f>
        <v>0.7</v>
      </c>
      <c r="W76" s="176">
        <f>USD!W77</f>
        <v>0.85</v>
      </c>
      <c r="X76" s="176">
        <f>USD!X77</f>
        <v>0.95</v>
      </c>
      <c r="Y76" s="176">
        <f>USD!Y77</f>
        <v>1</v>
      </c>
      <c r="Z76" s="176">
        <f>USD!Z77</f>
        <v>0.9</v>
      </c>
      <c r="AA76" s="176">
        <f>USD!AA77</f>
        <v>0.85</v>
      </c>
    </row>
    <row r="77" spans="15:27" ht="12.75">
      <c r="O77" s="87" t="str">
        <f>USD!O78</f>
        <v>г. Казань</v>
      </c>
      <c r="P77" s="88">
        <f>USD!P78</f>
        <v>100</v>
      </c>
      <c r="Q77" s="88">
        <f>USD!Q78</f>
        <v>85</v>
      </c>
      <c r="R77" s="176">
        <f>USD!R78</f>
        <v>1</v>
      </c>
      <c r="S77" s="176">
        <f>USD!S78</f>
        <v>0.95</v>
      </c>
      <c r="T77" s="176">
        <f>USD!T78</f>
        <v>0.9</v>
      </c>
      <c r="U77" s="176">
        <f>USD!U78</f>
        <v>0.95</v>
      </c>
      <c r="V77" s="176">
        <f>USD!V78</f>
        <v>0.95</v>
      </c>
      <c r="W77" s="176">
        <f>USD!W78</f>
        <v>1</v>
      </c>
      <c r="X77" s="176">
        <f>USD!X78</f>
        <v>0.95</v>
      </c>
      <c r="Y77" s="176">
        <f>USD!Y78</f>
        <v>1</v>
      </c>
      <c r="Z77" s="176">
        <f>USD!Z78</f>
        <v>0.9</v>
      </c>
      <c r="AA77" s="176">
        <f>USD!AA78</f>
        <v>0.85</v>
      </c>
    </row>
    <row r="78" spans="15:27" ht="12.75">
      <c r="O78" s="87" t="str">
        <f>USD!O79</f>
        <v>Ростовская область (не включая г. Ростов-на-Дону)</v>
      </c>
      <c r="P78" s="88">
        <f>USD!P79</f>
        <v>100</v>
      </c>
      <c r="Q78" s="88">
        <f>USD!Q79</f>
        <v>85</v>
      </c>
      <c r="R78" s="176">
        <f>USD!R79</f>
        <v>0.85</v>
      </c>
      <c r="S78" s="176">
        <f>USD!S79</f>
        <v>0.85</v>
      </c>
      <c r="T78" s="176">
        <f>USD!T79</f>
        <v>0.7</v>
      </c>
      <c r="U78" s="176">
        <f>USD!U79</f>
        <v>0.85</v>
      </c>
      <c r="V78" s="176">
        <f>USD!V79</f>
        <v>0.7</v>
      </c>
      <c r="W78" s="176">
        <f>USD!W79</f>
        <v>0.85</v>
      </c>
      <c r="X78" s="176">
        <f>USD!X79</f>
        <v>0.95</v>
      </c>
      <c r="Y78" s="176">
        <f>USD!Y79</f>
        <v>1</v>
      </c>
      <c r="Z78" s="176">
        <f>USD!Z79</f>
        <v>0.9</v>
      </c>
      <c r="AA78" s="176">
        <f>USD!AA79</f>
        <v>0.85</v>
      </c>
    </row>
    <row r="79" spans="15:27" ht="12.75">
      <c r="O79" s="87" t="str">
        <f>USD!O80</f>
        <v>г. Ростов-на-Дону</v>
      </c>
      <c r="P79" s="88">
        <f>USD!P80</f>
        <v>100</v>
      </c>
      <c r="Q79" s="88">
        <f>USD!Q80</f>
        <v>85</v>
      </c>
      <c r="R79" s="176">
        <f>USD!R80</f>
        <v>0.95</v>
      </c>
      <c r="S79" s="176">
        <f>USD!S80</f>
        <v>0.95</v>
      </c>
      <c r="T79" s="176">
        <f>USD!T80</f>
        <v>0.9</v>
      </c>
      <c r="U79" s="176">
        <f>USD!U80</f>
        <v>0.95</v>
      </c>
      <c r="V79" s="176">
        <f>USD!V80</f>
        <v>0.95</v>
      </c>
      <c r="W79" s="176">
        <f>USD!W80</f>
        <v>0.95</v>
      </c>
      <c r="X79" s="176">
        <f>USD!X80</f>
        <v>0.95</v>
      </c>
      <c r="Y79" s="176">
        <f>USD!Y80</f>
        <v>1</v>
      </c>
      <c r="Z79" s="176">
        <f>USD!Z80</f>
        <v>0.9</v>
      </c>
      <c r="AA79" s="176">
        <f>USD!AA80</f>
        <v>0.85</v>
      </c>
    </row>
    <row r="80" spans="15:27" ht="12.75">
      <c r="O80" s="87" t="str">
        <f>USD!O81</f>
        <v>Самарская область (не включая г. Самара и г. Тольятти)</v>
      </c>
      <c r="P80" s="88">
        <f>USD!P81</f>
        <v>100</v>
      </c>
      <c r="Q80" s="88">
        <f>USD!Q81</f>
        <v>85</v>
      </c>
      <c r="R80" s="176">
        <f>USD!R81</f>
        <v>0.85</v>
      </c>
      <c r="S80" s="176">
        <f>USD!S81</f>
        <v>0.85</v>
      </c>
      <c r="T80" s="176">
        <f>USD!T81</f>
        <v>0.7</v>
      </c>
      <c r="U80" s="176">
        <f>USD!U81</f>
        <v>0.85</v>
      </c>
      <c r="V80" s="176">
        <f>USD!V81</f>
        <v>0.7</v>
      </c>
      <c r="W80" s="176">
        <f>USD!W81</f>
        <v>0.85</v>
      </c>
      <c r="X80" s="176">
        <f>USD!X81</f>
        <v>0.95</v>
      </c>
      <c r="Y80" s="176">
        <f>USD!Y81</f>
        <v>1</v>
      </c>
      <c r="Z80" s="176">
        <f>USD!Z81</f>
        <v>0.9</v>
      </c>
      <c r="AA80" s="176">
        <f>USD!AA81</f>
        <v>0.85</v>
      </c>
    </row>
    <row r="81" spans="15:27" ht="12.75">
      <c r="O81" s="87" t="str">
        <f>USD!O82</f>
        <v>г. Самара</v>
      </c>
      <c r="P81" s="88">
        <f>USD!P82</f>
        <v>100</v>
      </c>
      <c r="Q81" s="88">
        <f>USD!Q82</f>
        <v>85</v>
      </c>
      <c r="R81" s="176">
        <f>USD!R82</f>
        <v>1</v>
      </c>
      <c r="S81" s="176">
        <f>USD!S82</f>
        <v>0.95</v>
      </c>
      <c r="T81" s="176">
        <f>USD!T82</f>
        <v>0.9</v>
      </c>
      <c r="U81" s="176">
        <f>USD!U82</f>
        <v>0.95</v>
      </c>
      <c r="V81" s="176">
        <f>USD!V82</f>
        <v>0.95</v>
      </c>
      <c r="W81" s="176">
        <f>USD!W82</f>
        <v>1</v>
      </c>
      <c r="X81" s="176">
        <f>USD!X82</f>
        <v>0.95</v>
      </c>
      <c r="Y81" s="176">
        <f>USD!Y82</f>
        <v>1</v>
      </c>
      <c r="Z81" s="176">
        <f>USD!Z82</f>
        <v>0.9</v>
      </c>
      <c r="AA81" s="176">
        <f>USD!AA82</f>
        <v>0.85</v>
      </c>
    </row>
    <row r="82" spans="15:27" ht="12.75">
      <c r="O82" s="87" t="str">
        <f>USD!O83</f>
        <v>г. Тольятти</v>
      </c>
      <c r="P82" s="88">
        <f>USD!P83</f>
        <v>100</v>
      </c>
      <c r="Q82" s="88">
        <f>USD!Q83</f>
        <v>85</v>
      </c>
      <c r="R82" s="176">
        <f>USD!R83</f>
        <v>0.9</v>
      </c>
      <c r="S82" s="176">
        <f>USD!S83</f>
        <v>0.85</v>
      </c>
      <c r="T82" s="176">
        <f>USD!T83</f>
        <v>0.7</v>
      </c>
      <c r="U82" s="176">
        <f>USD!U83</f>
        <v>0.85</v>
      </c>
      <c r="V82" s="176">
        <f>USD!V83</f>
        <v>0.7</v>
      </c>
      <c r="W82" s="176">
        <f>USD!W83</f>
        <v>0.9</v>
      </c>
      <c r="X82" s="176">
        <f>USD!X83</f>
        <v>0.95</v>
      </c>
      <c r="Y82" s="176">
        <f>USD!Y83</f>
        <v>1</v>
      </c>
      <c r="Z82" s="176">
        <f>USD!Z83</f>
        <v>0.9</v>
      </c>
      <c r="AA82" s="176">
        <f>USD!AA83</f>
        <v>0.85</v>
      </c>
    </row>
    <row r="83" spans="15:27" ht="12.75">
      <c r="O83" s="87" t="str">
        <f>USD!O84</f>
        <v>Саратовская область (включая г. Саратов)</v>
      </c>
      <c r="P83" s="88">
        <f>USD!P84</f>
        <v>100</v>
      </c>
      <c r="Q83" s="88">
        <f>USD!Q84</f>
        <v>85</v>
      </c>
      <c r="R83" s="176">
        <f>USD!R84</f>
        <v>0.85</v>
      </c>
      <c r="S83" s="176">
        <f>USD!S84</f>
        <v>0.85</v>
      </c>
      <c r="T83" s="176">
        <f>USD!T84</f>
        <v>0.7</v>
      </c>
      <c r="U83" s="176">
        <f>USD!U84</f>
        <v>0.85</v>
      </c>
      <c r="V83" s="176">
        <f>USD!V84</f>
        <v>0.7</v>
      </c>
      <c r="W83" s="176">
        <f>USD!W84</f>
        <v>0.85</v>
      </c>
      <c r="X83" s="176">
        <f>USD!X84</f>
        <v>0.95</v>
      </c>
      <c r="Y83" s="176">
        <f>USD!Y84</f>
        <v>1</v>
      </c>
      <c r="Z83" s="176">
        <f>USD!Z84</f>
        <v>0.9</v>
      </c>
      <c r="AA83" s="176">
        <f>USD!AA84</f>
        <v>0.85</v>
      </c>
    </row>
    <row r="84" spans="15:27" ht="12.75">
      <c r="O84" s="87" t="str">
        <f>USD!O85</f>
        <v>Свердловская область (не включая г. Екатеринбург)</v>
      </c>
      <c r="P84" s="88">
        <f>USD!P85</f>
        <v>100</v>
      </c>
      <c r="Q84" s="88">
        <f>USD!Q85</f>
        <v>85</v>
      </c>
      <c r="R84" s="176">
        <f>USD!R85</f>
        <v>0.85</v>
      </c>
      <c r="S84" s="176">
        <f>USD!S85</f>
        <v>0.85</v>
      </c>
      <c r="T84" s="176">
        <f>USD!T85</f>
        <v>0.7</v>
      </c>
      <c r="U84" s="176">
        <f>USD!U85</f>
        <v>0.85</v>
      </c>
      <c r="V84" s="176">
        <f>USD!V85</f>
        <v>0.7</v>
      </c>
      <c r="W84" s="176">
        <f>USD!W85</f>
        <v>0.85</v>
      </c>
      <c r="X84" s="176">
        <f>USD!X85</f>
        <v>0.95</v>
      </c>
      <c r="Y84" s="176">
        <f>USD!Y85</f>
        <v>1</v>
      </c>
      <c r="Z84" s="176">
        <f>USD!Z85</f>
        <v>0.9</v>
      </c>
      <c r="AA84" s="176">
        <f>USD!AA85</f>
        <v>0.85</v>
      </c>
    </row>
    <row r="85" spans="15:27" ht="12.75">
      <c r="O85" s="87" t="str">
        <f>USD!O86</f>
        <v>г. Екатеринбург</v>
      </c>
      <c r="P85" s="88">
        <f>USD!P86</f>
        <v>100</v>
      </c>
      <c r="Q85" s="88">
        <f>USD!Q86</f>
        <v>85</v>
      </c>
      <c r="R85" s="176">
        <f>USD!R86</f>
        <v>1</v>
      </c>
      <c r="S85" s="176">
        <f>USD!S86</f>
        <v>0.95</v>
      </c>
      <c r="T85" s="176">
        <f>USD!T86</f>
        <v>0.9</v>
      </c>
      <c r="U85" s="176">
        <f>USD!U86</f>
        <v>0.95</v>
      </c>
      <c r="V85" s="176">
        <f>USD!V86</f>
        <v>0.95</v>
      </c>
      <c r="W85" s="176">
        <f>USD!W86</f>
        <v>1</v>
      </c>
      <c r="X85" s="176">
        <f>USD!X86</f>
        <v>0.95</v>
      </c>
      <c r="Y85" s="176">
        <f>USD!Y86</f>
        <v>1</v>
      </c>
      <c r="Z85" s="176">
        <f>USD!Z86</f>
        <v>0.9</v>
      </c>
      <c r="AA85" s="176">
        <f>USD!AA86</f>
        <v>0.85</v>
      </c>
    </row>
    <row r="86" spans="15:27" ht="12.75">
      <c r="O86" s="87" t="str">
        <f>USD!O87</f>
        <v>Смоленская область (не включая г. Смоленск)</v>
      </c>
      <c r="P86" s="88">
        <f>USD!P87</f>
        <v>100</v>
      </c>
      <c r="Q86" s="88">
        <f>USD!Q87</f>
        <v>85</v>
      </c>
      <c r="R86" s="176">
        <f>USD!R87</f>
        <v>0.85</v>
      </c>
      <c r="S86" s="176">
        <f>USD!S87</f>
        <v>0.85</v>
      </c>
      <c r="T86" s="176">
        <f>USD!T87</f>
        <v>0.7</v>
      </c>
      <c r="U86" s="176">
        <f>USD!U87</f>
        <v>0.85</v>
      </c>
      <c r="V86" s="176">
        <f>USD!V87</f>
        <v>0.7</v>
      </c>
      <c r="W86" s="176">
        <f>USD!W87</f>
        <v>0.85</v>
      </c>
      <c r="X86" s="176">
        <f>USD!X87</f>
        <v>0.95</v>
      </c>
      <c r="Y86" s="176">
        <f>USD!Y87</f>
        <v>1</v>
      </c>
      <c r="Z86" s="176">
        <f>USD!Z87</f>
        <v>0.9</v>
      </c>
      <c r="AA86" s="176">
        <f>USD!AA87</f>
        <v>0.85</v>
      </c>
    </row>
    <row r="87" spans="15:27" ht="12.75">
      <c r="O87" s="87" t="str">
        <f>USD!O88</f>
        <v>г. Смоленск</v>
      </c>
      <c r="P87" s="88">
        <f>USD!P88</f>
        <v>100</v>
      </c>
      <c r="Q87" s="88">
        <f>USD!Q88</f>
        <v>85</v>
      </c>
      <c r="R87" s="176">
        <f>USD!R88</f>
        <v>0.9</v>
      </c>
      <c r="S87" s="176">
        <f>USD!S88</f>
        <v>0.85</v>
      </c>
      <c r="T87" s="176">
        <f>USD!T88</f>
        <v>0.7</v>
      </c>
      <c r="U87" s="176">
        <f>USD!U88</f>
        <v>0.85</v>
      </c>
      <c r="V87" s="176">
        <f>USD!V88</f>
        <v>0.7</v>
      </c>
      <c r="W87" s="176">
        <f>USD!W88</f>
        <v>0.9</v>
      </c>
      <c r="X87" s="176">
        <f>USD!X88</f>
        <v>0.95</v>
      </c>
      <c r="Y87" s="176">
        <f>USD!Y88</f>
        <v>1</v>
      </c>
      <c r="Z87" s="176">
        <f>USD!Z88</f>
        <v>0.9</v>
      </c>
      <c r="AA87" s="176">
        <f>USD!AA88</f>
        <v>0.85</v>
      </c>
    </row>
    <row r="88" spans="15:27" ht="12.75">
      <c r="O88" s="87" t="str">
        <f>USD!O89</f>
        <v>Тульская область (не включая г. Тула и г. Новомосковск)</v>
      </c>
      <c r="P88" s="88">
        <f>USD!P89</f>
        <v>100</v>
      </c>
      <c r="Q88" s="88">
        <f>USD!Q89</f>
        <v>85</v>
      </c>
      <c r="R88" s="176">
        <f>USD!R89</f>
        <v>0.85</v>
      </c>
      <c r="S88" s="176">
        <f>USD!S89</f>
        <v>0.85</v>
      </c>
      <c r="T88" s="176">
        <f>USD!T89</f>
        <v>0.7</v>
      </c>
      <c r="U88" s="176">
        <f>USD!U89</f>
        <v>0.85</v>
      </c>
      <c r="V88" s="176">
        <f>USD!V89</f>
        <v>0.7</v>
      </c>
      <c r="W88" s="176">
        <f>USD!W89</f>
        <v>0.85</v>
      </c>
      <c r="X88" s="176">
        <f>USD!X89</f>
        <v>0.95</v>
      </c>
      <c r="Y88" s="176">
        <f>USD!Y89</f>
        <v>1</v>
      </c>
      <c r="Z88" s="176">
        <f>USD!Z89</f>
        <v>0.9</v>
      </c>
      <c r="AA88" s="176">
        <f>USD!AA89</f>
        <v>0.85</v>
      </c>
    </row>
    <row r="89" spans="15:27" ht="12.75">
      <c r="O89" s="87" t="str">
        <f>USD!O90</f>
        <v>г. Тула</v>
      </c>
      <c r="P89" s="88">
        <f>USD!P90</f>
        <v>100</v>
      </c>
      <c r="Q89" s="88">
        <f>USD!Q90</f>
        <v>85</v>
      </c>
      <c r="R89" s="176">
        <f>USD!R90</f>
        <v>0.9</v>
      </c>
      <c r="S89" s="176">
        <f>USD!S90</f>
        <v>0.85</v>
      </c>
      <c r="T89" s="176">
        <f>USD!T90</f>
        <v>0.7</v>
      </c>
      <c r="U89" s="176">
        <f>USD!U90</f>
        <v>0.85</v>
      </c>
      <c r="V89" s="176">
        <f>USD!V90</f>
        <v>0.7</v>
      </c>
      <c r="W89" s="176">
        <f>USD!W90</f>
        <v>0.9</v>
      </c>
      <c r="X89" s="176">
        <f>USD!X90</f>
        <v>0.95</v>
      </c>
      <c r="Y89" s="176">
        <f>USD!Y90</f>
        <v>1</v>
      </c>
      <c r="Z89" s="176">
        <f>USD!Z90</f>
        <v>0.9</v>
      </c>
      <c r="AA89" s="176">
        <f>USD!AA90</f>
        <v>0.85</v>
      </c>
    </row>
    <row r="90" spans="15:27" ht="12.75">
      <c r="O90" s="87" t="str">
        <f>USD!O91</f>
        <v>г. Новомосковск</v>
      </c>
      <c r="P90" s="88">
        <f>USD!P91</f>
        <v>100</v>
      </c>
      <c r="Q90" s="88">
        <f>USD!Q91</f>
        <v>85</v>
      </c>
      <c r="R90" s="176">
        <f>USD!R91</f>
        <v>0.9</v>
      </c>
      <c r="S90" s="176">
        <f>USD!S91</f>
        <v>0.85</v>
      </c>
      <c r="T90" s="176">
        <f>USD!T91</f>
        <v>0.7</v>
      </c>
      <c r="U90" s="176">
        <f>USD!U91</f>
        <v>0.85</v>
      </c>
      <c r="V90" s="176">
        <f>USD!V91</f>
        <v>0.7</v>
      </c>
      <c r="W90" s="176">
        <f>USD!W91</f>
        <v>0.9</v>
      </c>
      <c r="X90" s="176">
        <f>USD!X91</f>
        <v>0.95</v>
      </c>
      <c r="Y90" s="176">
        <f>USD!Y91</f>
        <v>1</v>
      </c>
      <c r="Z90" s="176">
        <f>USD!Z91</f>
        <v>0.9</v>
      </c>
      <c r="AA90" s="176">
        <f>USD!AA91</f>
        <v>0.85</v>
      </c>
    </row>
    <row r="91" spans="15:27" ht="12.75">
      <c r="O91" s="87" t="str">
        <f>USD!O92</f>
        <v>Тверская область (включая г. Тверь)</v>
      </c>
      <c r="P91" s="88">
        <f>USD!P92</f>
        <v>100</v>
      </c>
      <c r="Q91" s="88">
        <f>USD!Q92</f>
        <v>85</v>
      </c>
      <c r="R91" s="176">
        <f>USD!R92</f>
        <v>0.85</v>
      </c>
      <c r="S91" s="176">
        <f>USD!S92</f>
        <v>0.85</v>
      </c>
      <c r="T91" s="176">
        <f>USD!T92</f>
        <v>0.7</v>
      </c>
      <c r="U91" s="176">
        <f>USD!U92</f>
        <v>0.85</v>
      </c>
      <c r="V91" s="176">
        <f>USD!V92</f>
        <v>0.7</v>
      </c>
      <c r="W91" s="176">
        <f>USD!W92</f>
        <v>0.85</v>
      </c>
      <c r="X91" s="176">
        <f>USD!X92</f>
        <v>0.95</v>
      </c>
      <c r="Y91" s="176">
        <f>USD!Y92</f>
        <v>1</v>
      </c>
      <c r="Z91" s="176">
        <f>USD!Z92</f>
        <v>0.9</v>
      </c>
      <c r="AA91" s="176">
        <f>USD!AA92</f>
        <v>0.85</v>
      </c>
    </row>
    <row r="92" spans="15:27" ht="12.75">
      <c r="O92" s="87" t="str">
        <f>USD!O93</f>
        <v>Томская область (не включая г. Томск)</v>
      </c>
      <c r="P92" s="88">
        <f>USD!P93</f>
        <v>100</v>
      </c>
      <c r="Q92" s="88">
        <f>USD!Q93</f>
        <v>85</v>
      </c>
      <c r="R92" s="176">
        <f>USD!R93</f>
        <v>0.85</v>
      </c>
      <c r="S92" s="176">
        <f>USD!S93</f>
        <v>0.85</v>
      </c>
      <c r="T92" s="176">
        <f>USD!T93</f>
        <v>0.7</v>
      </c>
      <c r="U92" s="176">
        <f>USD!U93</f>
        <v>0.85</v>
      </c>
      <c r="V92" s="176">
        <f>USD!V93</f>
        <v>0.7</v>
      </c>
      <c r="W92" s="176">
        <f>USD!W93</f>
        <v>0.85</v>
      </c>
      <c r="X92" s="176">
        <f>USD!X93</f>
        <v>0.95</v>
      </c>
      <c r="Y92" s="176">
        <f>USD!Y93</f>
        <v>1</v>
      </c>
      <c r="Z92" s="176">
        <f>USD!Z93</f>
        <v>0.9</v>
      </c>
      <c r="AA92" s="176">
        <f>USD!AA93</f>
        <v>0.85</v>
      </c>
    </row>
    <row r="93" spans="15:27" ht="12.75">
      <c r="O93" s="87" t="str">
        <f>USD!O94</f>
        <v>г. Томск</v>
      </c>
      <c r="P93" s="88">
        <f>USD!P94</f>
        <v>100</v>
      </c>
      <c r="Q93" s="88">
        <f>USD!Q94</f>
        <v>85</v>
      </c>
      <c r="R93" s="176">
        <f>USD!R94</f>
        <v>0.9</v>
      </c>
      <c r="S93" s="176">
        <f>USD!S94</f>
        <v>0.85</v>
      </c>
      <c r="T93" s="176">
        <f>USD!T94</f>
        <v>0.7</v>
      </c>
      <c r="U93" s="176">
        <f>USD!U94</f>
        <v>0.85</v>
      </c>
      <c r="V93" s="176">
        <f>USD!V94</f>
        <v>0.7</v>
      </c>
      <c r="W93" s="176">
        <f>USD!W94</f>
        <v>0.9</v>
      </c>
      <c r="X93" s="176">
        <f>USD!X94</f>
        <v>0.95</v>
      </c>
      <c r="Y93" s="176">
        <f>USD!Y94</f>
        <v>1</v>
      </c>
      <c r="Z93" s="176">
        <f>USD!Z94</f>
        <v>0.9</v>
      </c>
      <c r="AA93" s="176">
        <f>USD!AA94</f>
        <v>0.85</v>
      </c>
    </row>
    <row r="94" spans="15:27" ht="12.75">
      <c r="O94" s="87" t="str">
        <f>USD!O95</f>
        <v>Тюменская область (не включая г. Тюмень)</v>
      </c>
      <c r="P94" s="88">
        <f>USD!P95</f>
        <v>100</v>
      </c>
      <c r="Q94" s="88">
        <f>USD!Q95</f>
        <v>85</v>
      </c>
      <c r="R94" s="176">
        <f>USD!R95</f>
        <v>0.85</v>
      </c>
      <c r="S94" s="176">
        <f>USD!S95</f>
        <v>0.85</v>
      </c>
      <c r="T94" s="176">
        <f>USD!T95</f>
        <v>0.7</v>
      </c>
      <c r="U94" s="176">
        <f>USD!U95</f>
        <v>0.85</v>
      </c>
      <c r="V94" s="176">
        <f>USD!V95</f>
        <v>0.7</v>
      </c>
      <c r="W94" s="176">
        <f>USD!W95</f>
        <v>0.85</v>
      </c>
      <c r="X94" s="176">
        <f>USD!X95</f>
        <v>0.95</v>
      </c>
      <c r="Y94" s="176">
        <f>USD!Y95</f>
        <v>1</v>
      </c>
      <c r="Z94" s="176">
        <f>USD!Z95</f>
        <v>0.9</v>
      </c>
      <c r="AA94" s="176">
        <f>USD!AA95</f>
        <v>0.85</v>
      </c>
    </row>
    <row r="95" spans="15:27" ht="12.75">
      <c r="O95" s="87" t="str">
        <f>USD!O96</f>
        <v>г. Тюмень</v>
      </c>
      <c r="P95" s="88">
        <f>USD!P96</f>
        <v>100</v>
      </c>
      <c r="Q95" s="88">
        <f>USD!Q96</f>
        <v>85</v>
      </c>
      <c r="R95" s="176">
        <f>USD!R96</f>
        <v>0.95</v>
      </c>
      <c r="S95" s="176">
        <f>USD!S96</f>
        <v>0.95</v>
      </c>
      <c r="T95" s="176">
        <f>USD!T96</f>
        <v>0.9</v>
      </c>
      <c r="U95" s="176">
        <f>USD!U96</f>
        <v>0.95</v>
      </c>
      <c r="V95" s="176">
        <f>USD!V96</f>
        <v>0.95</v>
      </c>
      <c r="W95" s="176">
        <f>USD!W96</f>
        <v>0.95</v>
      </c>
      <c r="X95" s="176">
        <f>USD!X96</f>
        <v>0.95</v>
      </c>
      <c r="Y95" s="176">
        <f>USD!Y96</f>
        <v>1</v>
      </c>
      <c r="Z95" s="176">
        <f>USD!Z96</f>
        <v>0.9</v>
      </c>
      <c r="AA95" s="176">
        <f>USD!AA96</f>
        <v>0.85</v>
      </c>
    </row>
    <row r="96" spans="15:27" ht="12.75">
      <c r="O96" s="87" t="str">
        <f>USD!O97</f>
        <v>Ульяновская область (не включая г. Ульяновск)</v>
      </c>
      <c r="P96" s="88">
        <f>USD!P97</f>
        <v>100</v>
      </c>
      <c r="Q96" s="88">
        <f>USD!Q97</f>
        <v>85</v>
      </c>
      <c r="R96" s="176">
        <f>USD!R97</f>
        <v>0.85</v>
      </c>
      <c r="S96" s="176">
        <f>USD!S97</f>
        <v>0.85</v>
      </c>
      <c r="T96" s="176">
        <f>USD!T97</f>
        <v>0.7</v>
      </c>
      <c r="U96" s="176">
        <f>USD!U97</f>
        <v>0.85</v>
      </c>
      <c r="V96" s="176">
        <f>USD!V97</f>
        <v>0.7</v>
      </c>
      <c r="W96" s="176">
        <f>USD!W97</f>
        <v>0.85</v>
      </c>
      <c r="X96" s="176">
        <f>USD!X97</f>
        <v>0.95</v>
      </c>
      <c r="Y96" s="176">
        <f>USD!Y97</f>
        <v>1</v>
      </c>
      <c r="Z96" s="176">
        <f>USD!Z97</f>
        <v>0.9</v>
      </c>
      <c r="AA96" s="176">
        <f>USD!AA97</f>
        <v>0.85</v>
      </c>
    </row>
    <row r="97" spans="15:27" ht="12.75">
      <c r="O97" s="87" t="str">
        <f>USD!O98</f>
        <v>г. Ульяновск</v>
      </c>
      <c r="P97" s="88">
        <f>USD!P98</f>
        <v>100</v>
      </c>
      <c r="Q97" s="88">
        <f>USD!Q98</f>
        <v>85</v>
      </c>
      <c r="R97" s="176">
        <f>USD!R98</f>
        <v>0.9</v>
      </c>
      <c r="S97" s="176">
        <f>USD!S98</f>
        <v>0.85</v>
      </c>
      <c r="T97" s="176">
        <f>USD!T98</f>
        <v>0.7</v>
      </c>
      <c r="U97" s="176">
        <f>USD!U98</f>
        <v>0.85</v>
      </c>
      <c r="V97" s="176">
        <f>USD!V98</f>
        <v>0.7</v>
      </c>
      <c r="W97" s="176">
        <f>USD!W98</f>
        <v>0.9</v>
      </c>
      <c r="X97" s="176">
        <f>USD!X98</f>
        <v>0.95</v>
      </c>
      <c r="Y97" s="176">
        <f>USD!Y98</f>
        <v>1</v>
      </c>
      <c r="Z97" s="176">
        <f>USD!Z98</f>
        <v>0.9</v>
      </c>
      <c r="AA97" s="176">
        <f>USD!AA98</f>
        <v>0.85</v>
      </c>
    </row>
    <row r="98" spans="15:27" ht="12.75">
      <c r="O98" s="87" t="str">
        <f>USD!O99</f>
        <v>Хабаровский край (не включая г. Хабаровск)</v>
      </c>
      <c r="P98" s="88">
        <f>USD!P99</f>
        <v>120</v>
      </c>
      <c r="Q98" s="88">
        <f>USD!Q99</f>
        <v>100</v>
      </c>
      <c r="R98" s="176">
        <f>USD!R99</f>
        <v>0.85</v>
      </c>
      <c r="S98" s="176">
        <f>USD!S99</f>
        <v>0.85</v>
      </c>
      <c r="T98" s="176">
        <f>USD!T99</f>
        <v>0.7</v>
      </c>
      <c r="U98" s="176">
        <f>USD!U99</f>
        <v>0.85</v>
      </c>
      <c r="V98" s="176">
        <f>USD!V99</f>
        <v>0.7</v>
      </c>
      <c r="W98" s="176">
        <f>USD!W99</f>
        <v>0.85</v>
      </c>
      <c r="X98" s="176">
        <f>USD!X99</f>
        <v>0.95</v>
      </c>
      <c r="Y98" s="176">
        <f>USD!Y99</f>
        <v>1</v>
      </c>
      <c r="Z98" s="176">
        <f>USD!Z99</f>
        <v>0.9</v>
      </c>
      <c r="AA98" s="176">
        <f>USD!AA99</f>
        <v>0.85</v>
      </c>
    </row>
    <row r="99" spans="15:27" ht="12.75">
      <c r="O99" s="87" t="str">
        <f>USD!O100</f>
        <v>г. Хабаровск</v>
      </c>
      <c r="P99" s="88">
        <f>USD!P100</f>
        <v>120</v>
      </c>
      <c r="Q99" s="88">
        <f>USD!Q100</f>
        <v>100</v>
      </c>
      <c r="R99" s="176">
        <f>USD!R100</f>
        <v>0.95</v>
      </c>
      <c r="S99" s="176">
        <f>USD!S100</f>
        <v>0.95</v>
      </c>
      <c r="T99" s="176">
        <f>USD!T100</f>
        <v>0.9</v>
      </c>
      <c r="U99" s="176">
        <f>USD!U100</f>
        <v>0.95</v>
      </c>
      <c r="V99" s="176">
        <f>USD!V100</f>
        <v>0.95</v>
      </c>
      <c r="W99" s="176">
        <f>USD!W100</f>
        <v>0.95</v>
      </c>
      <c r="X99" s="176">
        <f>USD!X100</f>
        <v>0.95</v>
      </c>
      <c r="Y99" s="176">
        <f>USD!Y100</f>
        <v>1</v>
      </c>
      <c r="Z99" s="176">
        <f>USD!Z100</f>
        <v>0.9</v>
      </c>
      <c r="AA99" s="176">
        <f>USD!AA100</f>
        <v>0.85</v>
      </c>
    </row>
    <row r="100" spans="15:27" ht="12.75">
      <c r="O100" s="87" t="str">
        <f>USD!O101</f>
        <v>Челябинская область (не включая г. Челябинск)</v>
      </c>
      <c r="P100" s="88">
        <f>USD!P101</f>
        <v>100</v>
      </c>
      <c r="Q100" s="88">
        <f>USD!Q101</f>
        <v>85</v>
      </c>
      <c r="R100" s="176">
        <f>USD!R101</f>
        <v>0.85</v>
      </c>
      <c r="S100" s="176">
        <f>USD!S101</f>
        <v>0.85</v>
      </c>
      <c r="T100" s="176">
        <f>USD!T101</f>
        <v>0.7</v>
      </c>
      <c r="U100" s="176">
        <f>USD!U101</f>
        <v>0.85</v>
      </c>
      <c r="V100" s="176">
        <f>USD!V101</f>
        <v>0.7</v>
      </c>
      <c r="W100" s="176">
        <f>USD!W101</f>
        <v>0.85</v>
      </c>
      <c r="X100" s="176">
        <f>USD!X101</f>
        <v>0.95</v>
      </c>
      <c r="Y100" s="176">
        <f>USD!Y101</f>
        <v>1</v>
      </c>
      <c r="Z100" s="176">
        <f>USD!Z101</f>
        <v>0.9</v>
      </c>
      <c r="AA100" s="176">
        <f>USD!AA101</f>
        <v>0.85</v>
      </c>
    </row>
    <row r="101" spans="15:27" ht="12.75">
      <c r="O101" s="87" t="str">
        <f>USD!O102</f>
        <v>г. Челябинск</v>
      </c>
      <c r="P101" s="88">
        <f>USD!P102</f>
        <v>100</v>
      </c>
      <c r="Q101" s="88">
        <f>USD!Q102</f>
        <v>85</v>
      </c>
      <c r="R101" s="176">
        <f>USD!R102</f>
        <v>0.9</v>
      </c>
      <c r="S101" s="176">
        <f>USD!S102</f>
        <v>0.85</v>
      </c>
      <c r="T101" s="176">
        <f>USD!T102</f>
        <v>0.7</v>
      </c>
      <c r="U101" s="176">
        <f>USD!U102</f>
        <v>0.85</v>
      </c>
      <c r="V101" s="176">
        <f>USD!V102</f>
        <v>0.7</v>
      </c>
      <c r="W101" s="176">
        <f>USD!W102</f>
        <v>0.9</v>
      </c>
      <c r="X101" s="176">
        <f>USD!X102</f>
        <v>0.95</v>
      </c>
      <c r="Y101" s="176">
        <f>USD!Y102</f>
        <v>1</v>
      </c>
      <c r="Z101" s="176">
        <f>USD!Z102</f>
        <v>0.9</v>
      </c>
      <c r="AA101" s="176">
        <f>USD!AA102</f>
        <v>0.85</v>
      </c>
    </row>
    <row r="102" spans="15:27" ht="12.75">
      <c r="O102" s="87" t="str">
        <f>USD!O103</f>
        <v>Чувашская республика (включая г. Чебоксары)</v>
      </c>
      <c r="P102" s="88">
        <f>USD!P103</f>
        <v>100</v>
      </c>
      <c r="Q102" s="88">
        <f>USD!Q103</f>
        <v>85</v>
      </c>
      <c r="R102" s="176">
        <f>USD!R103</f>
        <v>0.85</v>
      </c>
      <c r="S102" s="176">
        <f>USD!S103</f>
        <v>0.85</v>
      </c>
      <c r="T102" s="176">
        <f>USD!T103</f>
        <v>0.7</v>
      </c>
      <c r="U102" s="176">
        <f>USD!U103</f>
        <v>0.85</v>
      </c>
      <c r="V102" s="176">
        <f>USD!V103</f>
        <v>0.7</v>
      </c>
      <c r="W102" s="176">
        <f>USD!W103</f>
        <v>0.85</v>
      </c>
      <c r="X102" s="176">
        <f>USD!X103</f>
        <v>0.95</v>
      </c>
      <c r="Y102" s="176">
        <f>USD!Y103</f>
        <v>1</v>
      </c>
      <c r="Z102" s="176">
        <f>USD!Z103</f>
        <v>0.9</v>
      </c>
      <c r="AA102" s="176">
        <f>USD!AA103</f>
        <v>0.85</v>
      </c>
    </row>
    <row r="103" spans="15:27" ht="12.75">
      <c r="O103" s="87" t="str">
        <f>USD!O104</f>
        <v>Ярославская область (не включая г. Ярославль)</v>
      </c>
      <c r="P103" s="88">
        <f>USD!P104</f>
        <v>100</v>
      </c>
      <c r="Q103" s="88">
        <f>USD!Q104</f>
        <v>85</v>
      </c>
      <c r="R103" s="176">
        <f>USD!R104</f>
        <v>0.85</v>
      </c>
      <c r="S103" s="176">
        <f>USD!S104</f>
        <v>0.85</v>
      </c>
      <c r="T103" s="176">
        <f>USD!T104</f>
        <v>0.7</v>
      </c>
      <c r="U103" s="176">
        <f>USD!U104</f>
        <v>0.85</v>
      </c>
      <c r="V103" s="176">
        <f>USD!V104</f>
        <v>0.7</v>
      </c>
      <c r="W103" s="176">
        <f>USD!W104</f>
        <v>0.85</v>
      </c>
      <c r="X103" s="176">
        <f>USD!X104</f>
        <v>0.95</v>
      </c>
      <c r="Y103" s="176">
        <f>USD!Y104</f>
        <v>1</v>
      </c>
      <c r="Z103" s="176">
        <f>USD!Z104</f>
        <v>0.9</v>
      </c>
      <c r="AA103" s="176">
        <f>USD!AA104</f>
        <v>0.85</v>
      </c>
    </row>
    <row r="104" spans="15:27" ht="12.75">
      <c r="O104" s="87" t="str">
        <f>USD!O105</f>
        <v>г. Ярославль</v>
      </c>
      <c r="P104" s="88">
        <f>USD!P105</f>
        <v>100</v>
      </c>
      <c r="Q104" s="88">
        <f>USD!Q105</f>
        <v>85</v>
      </c>
      <c r="R104" s="176">
        <f>USD!R105</f>
        <v>0.9</v>
      </c>
      <c r="S104" s="176">
        <f>USD!S105</f>
        <v>0.85</v>
      </c>
      <c r="T104" s="176">
        <f>USD!T105</f>
        <v>0.7</v>
      </c>
      <c r="U104" s="176">
        <f>USD!U105</f>
        <v>0.85</v>
      </c>
      <c r="V104" s="176">
        <f>USD!V105</f>
        <v>0.7</v>
      </c>
      <c r="W104" s="176">
        <f>USD!W105</f>
        <v>0.9</v>
      </c>
      <c r="X104" s="176">
        <f>USD!X105</f>
        <v>0.95</v>
      </c>
      <c r="Y104" s="176">
        <f>USD!Y105</f>
        <v>1</v>
      </c>
      <c r="Z104" s="176">
        <f>USD!Z105</f>
        <v>0.9</v>
      </c>
      <c r="AA104" s="176">
        <f>USD!AA105</f>
        <v>0.85</v>
      </c>
    </row>
  </sheetData>
  <sheetProtection password="84F1" sheet="1" objects="1" scenarios="1"/>
  <mergeCells count="8">
    <mergeCell ref="B2:H2"/>
    <mergeCell ref="A4:B4"/>
    <mergeCell ref="G4:H4"/>
    <mergeCell ref="U25:V25"/>
    <mergeCell ref="Y25:AA25"/>
    <mergeCell ref="W25:X25"/>
    <mergeCell ref="A5:B5"/>
    <mergeCell ref="I4:J4"/>
  </mergeCells>
  <dataValidations count="3">
    <dataValidation type="whole" operator="lessThanOrEqual" allowBlank="1" showErrorMessage="1" promptTitle="ошибка " errorTitle="Ошибка ввода" error="Срок кредита не может быть более 10 лет." sqref="C4">
      <formula1>10</formula1>
    </dataValidation>
    <dataValidation operator="lessThanOrEqual" allowBlank="1" showInputMessage="1" showErrorMessage="1" sqref="B9 D11"/>
    <dataValidation type="list" allowBlank="1" showInputMessage="1" showErrorMessage="1" sqref="B2:H2">
      <formula1>$O$27:$O$104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04"/>
  <sheetViews>
    <sheetView workbookViewId="0" topLeftCell="A1">
      <selection activeCell="AF13" sqref="AF13"/>
    </sheetView>
  </sheetViews>
  <sheetFormatPr defaultColWidth="9.00390625" defaultRowHeight="12.75"/>
  <cols>
    <col min="1" max="1" width="21.00390625" style="35" customWidth="1"/>
    <col min="2" max="2" width="16.75390625" style="34" customWidth="1"/>
    <col min="3" max="3" width="5.75390625" style="34" customWidth="1"/>
    <col min="4" max="4" width="16.75390625" style="34" customWidth="1"/>
    <col min="5" max="5" width="5.75390625" style="34" customWidth="1"/>
    <col min="6" max="6" width="16.75390625" style="34" customWidth="1"/>
    <col min="7" max="7" width="5.75390625" style="34" customWidth="1"/>
    <col min="8" max="8" width="16.75390625" style="34" customWidth="1"/>
    <col min="9" max="9" width="5.75390625" style="34" customWidth="1"/>
    <col min="10" max="10" width="16.75390625" style="34" customWidth="1"/>
    <col min="11" max="11" width="9.125" style="34" customWidth="1"/>
    <col min="12" max="12" width="10.375" style="34" customWidth="1"/>
    <col min="13" max="13" width="11.00390625" style="34" customWidth="1"/>
    <col min="14" max="14" width="9.375" style="34" hidden="1" customWidth="1"/>
    <col min="15" max="15" width="10.625" style="34" hidden="1" customWidth="1"/>
    <col min="16" max="16" width="9.875" style="34" hidden="1" customWidth="1"/>
    <col min="17" max="17" width="11.00390625" style="34" hidden="1" customWidth="1"/>
    <col min="18" max="18" width="9.875" style="34" hidden="1" customWidth="1"/>
    <col min="19" max="19" width="11.00390625" style="34" hidden="1" customWidth="1"/>
    <col min="20" max="21" width="0" style="34" hidden="1" customWidth="1"/>
    <col min="22" max="22" width="9.875" style="34" hidden="1" customWidth="1"/>
    <col min="23" max="23" width="11.00390625" style="34" hidden="1" customWidth="1"/>
    <col min="24" max="27" width="0" style="34" hidden="1" customWidth="1"/>
    <col min="28" max="16384" width="9.125" style="34" customWidth="1"/>
  </cols>
  <sheetData>
    <row r="1" s="102" customFormat="1" ht="13.5" thickBot="1">
      <c r="A1" s="101"/>
    </row>
    <row r="2" spans="1:15" ht="17.25" thickBot="1" thickTop="1">
      <c r="A2" s="31" t="s">
        <v>26</v>
      </c>
      <c r="B2" s="200" t="s">
        <v>114</v>
      </c>
      <c r="C2" s="201"/>
      <c r="D2" s="201"/>
      <c r="E2" s="201"/>
      <c r="F2" s="201"/>
      <c r="G2" s="201"/>
      <c r="H2" s="202"/>
      <c r="I2" s="99"/>
      <c r="J2" s="32">
        <f>O2</f>
        <v>100</v>
      </c>
      <c r="N2" s="2"/>
      <c r="O2" s="7">
        <f>IF(C5&gt;=USD!V114,O6,O5)</f>
        <v>100</v>
      </c>
    </row>
    <row r="3" spans="14:15" ht="14.25" thickBot="1" thickTop="1">
      <c r="N3" s="2"/>
      <c r="O3" s="2">
        <f>VLOOKUP(B2,O27:T104,6,FALSE)</f>
        <v>0.7</v>
      </c>
    </row>
    <row r="4" spans="1:15" ht="17.25" thickBot="1" thickTop="1">
      <c r="A4" s="194" t="s">
        <v>0</v>
      </c>
      <c r="B4" s="210"/>
      <c r="C4" s="33">
        <v>10</v>
      </c>
      <c r="D4" s="54" t="s">
        <v>1</v>
      </c>
      <c r="E4" s="54"/>
      <c r="F4" s="54"/>
      <c r="G4" s="196" t="s">
        <v>2</v>
      </c>
      <c r="H4" s="197"/>
      <c r="I4" s="205">
        <f>IF(C4&lt;=USD!O136,USD!S136,USD!S137)</f>
        <v>0.16</v>
      </c>
      <c r="J4" s="193"/>
      <c r="N4" s="2"/>
      <c r="O4" s="2"/>
    </row>
    <row r="5" spans="1:15" ht="17.25" thickBot="1" thickTop="1">
      <c r="A5" s="203" t="s">
        <v>3</v>
      </c>
      <c r="B5" s="204"/>
      <c r="C5" s="33">
        <v>1</v>
      </c>
      <c r="D5" s="106"/>
      <c r="E5" s="106"/>
      <c r="G5" s="196" t="s">
        <v>14</v>
      </c>
      <c r="H5" s="197"/>
      <c r="I5" s="211">
        <v>28.2517</v>
      </c>
      <c r="J5" s="212"/>
      <c r="N5" s="2"/>
      <c r="O5" s="7">
        <f>VLOOKUP(B2,O27:P104,2,FALSE)</f>
        <v>100</v>
      </c>
    </row>
    <row r="6" spans="1:15" ht="16.5" thickTop="1">
      <c r="A6" s="74"/>
      <c r="B6" s="75"/>
      <c r="C6" s="100"/>
      <c r="D6" s="106"/>
      <c r="E6" s="106"/>
      <c r="G6" s="55"/>
      <c r="H6" s="69"/>
      <c r="I6" s="107"/>
      <c r="J6" s="107"/>
      <c r="N6" s="7">
        <f>O2*C5</f>
        <v>100</v>
      </c>
      <c r="O6" s="7">
        <f>VLOOKUP(B2,O27:Q104,3,FALSE)</f>
        <v>85</v>
      </c>
    </row>
    <row r="7" spans="2:10" ht="25.5">
      <c r="B7" s="27" t="s">
        <v>4</v>
      </c>
      <c r="D7" s="27" t="s">
        <v>5</v>
      </c>
      <c r="F7" s="27" t="s">
        <v>6</v>
      </c>
      <c r="H7" s="27" t="s">
        <v>7</v>
      </c>
      <c r="J7" s="27" t="s">
        <v>8</v>
      </c>
    </row>
    <row r="8" spans="2:8" ht="13.5" customHeight="1" thickBot="1">
      <c r="B8" s="56"/>
      <c r="D8" s="56"/>
      <c r="F8" s="56"/>
      <c r="H8" s="56"/>
    </row>
    <row r="9" spans="1:10" ht="27" customHeight="1" thickBot="1" thickTop="1">
      <c r="A9" s="31" t="s">
        <v>9</v>
      </c>
      <c r="B9" s="57">
        <v>599789</v>
      </c>
      <c r="C9" s="103"/>
      <c r="D9" s="58">
        <f>D11/$O$3</f>
        <v>728315.7142857143</v>
      </c>
      <c r="E9" s="103"/>
      <c r="F9" s="58">
        <f>F11/$O$3</f>
        <v>3530640</v>
      </c>
      <c r="G9" s="103"/>
      <c r="H9" s="58">
        <f>H11/$O$3</f>
        <v>728310</v>
      </c>
      <c r="I9" s="103"/>
      <c r="J9" s="59">
        <f>J17/(1-O3)</f>
        <v>188819.99999999997</v>
      </c>
    </row>
    <row r="10" spans="2:10" ht="13.5" customHeight="1" thickBot="1" thickTop="1">
      <c r="B10" s="103"/>
      <c r="C10" s="103"/>
      <c r="D10" s="103"/>
      <c r="E10" s="103"/>
      <c r="F10" s="103"/>
      <c r="G10" s="103"/>
      <c r="H10" s="103"/>
      <c r="I10" s="103"/>
      <c r="J10" s="103"/>
    </row>
    <row r="11" spans="1:23" s="91" customFormat="1" ht="27" customHeight="1" thickBot="1" thickTop="1">
      <c r="A11" s="31" t="s">
        <v>10</v>
      </c>
      <c r="B11" s="60">
        <f>B9*O3</f>
        <v>419852.3</v>
      </c>
      <c r="C11" s="96"/>
      <c r="D11" s="61">
        <v>509821</v>
      </c>
      <c r="E11" s="28"/>
      <c r="F11" s="60">
        <f>ROUND(F13/(($I$4/12)/(1-(1+($I$4/12))^-($C$4*12))),0)</f>
        <v>2471448</v>
      </c>
      <c r="G11" s="28"/>
      <c r="H11" s="60">
        <f>ROUND(H13/(($I$4/12)/(1-(1+($I$4/12))^-($C$4*12))),0)</f>
        <v>509817</v>
      </c>
      <c r="I11" s="28"/>
      <c r="J11" s="62">
        <f>J9-J17</f>
        <v>132173.99999999997</v>
      </c>
      <c r="N11" s="81">
        <f>(B13+$N$6*$I$5)/USD!$Q$123</f>
        <v>15166.415384615384</v>
      </c>
      <c r="O11" s="81">
        <f>B13/USD!$P$123</f>
        <v>15628.888888888889</v>
      </c>
      <c r="P11" s="81">
        <f>(D13+$N$6*$I$5)/USD!$Q$123</f>
        <v>17484.87692307692</v>
      </c>
      <c r="Q11" s="81">
        <f>D13/USD!$P$123</f>
        <v>18977.777777777777</v>
      </c>
      <c r="R11" s="81">
        <f>(F13+$N$6*$I$5)/USD!$Q$123</f>
        <v>68038.72307692307</v>
      </c>
      <c r="S11" s="81">
        <f>F13/USD!$P$123</f>
        <v>92000</v>
      </c>
      <c r="V11" s="81">
        <f>(J13+$N$6*$I$5)/USD!$Q$123</f>
        <v>7752.569230769231</v>
      </c>
      <c r="W11" s="81">
        <f>J13/USD!$P$123</f>
        <v>4920</v>
      </c>
    </row>
    <row r="12" spans="1:23" ht="13.5" customHeight="1" thickBot="1" thickTop="1">
      <c r="A12" s="36"/>
      <c r="B12" s="28"/>
      <c r="C12" s="28"/>
      <c r="D12" s="28"/>
      <c r="E12" s="103"/>
      <c r="F12" s="28"/>
      <c r="G12" s="103"/>
      <c r="H12" s="28"/>
      <c r="I12" s="103"/>
      <c r="J12" s="28"/>
      <c r="L12" s="91"/>
      <c r="M12" s="97"/>
      <c r="N12" s="80"/>
      <c r="O12" s="81">
        <f>USD!$O$123+0.01</f>
        <v>30000.01</v>
      </c>
      <c r="P12" s="80"/>
      <c r="Q12" s="81">
        <f>USD!$O$123+0.01</f>
        <v>30000.01</v>
      </c>
      <c r="R12" s="80"/>
      <c r="S12" s="81">
        <f>USD!$O$123+0.01</f>
        <v>30000.01</v>
      </c>
      <c r="V12" s="80"/>
      <c r="W12" s="81">
        <f>USD!$O$123+0.01</f>
        <v>30000.01</v>
      </c>
    </row>
    <row r="13" spans="1:23" s="105" customFormat="1" ht="27" customHeight="1" thickBot="1" thickTop="1">
      <c r="A13" s="37" t="s">
        <v>11</v>
      </c>
      <c r="B13" s="63">
        <f>ROUND(B11*(($I$4/12)/(1-(1+($I$4/12))^-($C$4*12))),0)</f>
        <v>7033</v>
      </c>
      <c r="C13" s="94"/>
      <c r="D13" s="63">
        <f>ROUND(D11*(($I$4/12)/(1-(1+($I$4/12))^-($C$4*12))),0)</f>
        <v>8540</v>
      </c>
      <c r="E13" s="104"/>
      <c r="F13" s="64">
        <v>41400</v>
      </c>
      <c r="G13" s="104"/>
      <c r="H13" s="63">
        <f>IF(H15=0,0,IF(H15&lt;=USD!O123,MIN(H15*USD!Q123-N6*I5,H15*USD!P123),IF(H15&lt;=USD!O124,MIN(H15*USD!Q124-N6*I5,H15*USD!P124),IF(H15&lt;=USD!O125,MIN(H15*USD!Q125-N6*I5,H15*USD!P125),IF(H15&lt;=USD!O126,MIN(H15*USD!Q126-N6*I5,H15*USD!P126),IF(H15&lt;=USD!O127,MIN(H15*USD!Q127-N6*I5,H15*USD!P127),IF(H15&lt;=USD!O128,MIN(H15*USD!Q128-N6*I5,H15*USD!P128),MIN(H15*USD!Q129-N6*I5,H15*USD!P129))))))))</f>
        <v>8540.1</v>
      </c>
      <c r="I13" s="104"/>
      <c r="J13" s="63">
        <f>ROUND(J11*(($I$4/12)/(1-(1+($I$4/12))^-($C$4*12))),0)</f>
        <v>2214</v>
      </c>
      <c r="N13" s="81">
        <f>(B13+$N$6*$I$5)/USD!$Q$124</f>
        <v>14083.1</v>
      </c>
      <c r="O13" s="81">
        <f>B13/USD!$P$124</f>
        <v>14066</v>
      </c>
      <c r="P13" s="81">
        <f>(D13+$N$6*$I$5)/USD!$Q$124</f>
        <v>16235.957142857143</v>
      </c>
      <c r="Q13" s="81">
        <f>D13/USD!$P$124</f>
        <v>17080</v>
      </c>
      <c r="R13" s="81">
        <f>(F13+$N$6*$I$5)/USD!$Q$124</f>
        <v>63178.81428571429</v>
      </c>
      <c r="S13" s="81">
        <f>F13/USD!$P$124</f>
        <v>82800</v>
      </c>
      <c r="V13" s="81">
        <f>(J13+$N$6*$I$5)/USD!$Q$124</f>
        <v>7198.814285714287</v>
      </c>
      <c r="W13" s="81">
        <f>J13/USD!$P$124</f>
        <v>4428</v>
      </c>
    </row>
    <row r="14" spans="2:23" ht="13.5" customHeight="1" thickBot="1" thickTop="1">
      <c r="B14" s="103"/>
      <c r="C14" s="103"/>
      <c r="D14" s="103"/>
      <c r="E14" s="103"/>
      <c r="F14" s="103"/>
      <c r="G14" s="103"/>
      <c r="H14" s="103"/>
      <c r="I14" s="103"/>
      <c r="J14" s="103"/>
      <c r="N14" s="81"/>
      <c r="O14" s="81">
        <f>USD!$O$124+0.01</f>
        <v>60000.01</v>
      </c>
      <c r="P14" s="81"/>
      <c r="Q14" s="81">
        <f>USD!$O$124+0.01</f>
        <v>60000.01</v>
      </c>
      <c r="R14" s="81"/>
      <c r="S14" s="81">
        <f>USD!$O$124+0.01</f>
        <v>60000.01</v>
      </c>
      <c r="V14" s="81"/>
      <c r="W14" s="81">
        <f>USD!$O$124+0.01</f>
        <v>60000.01</v>
      </c>
    </row>
    <row r="15" spans="1:23" ht="27" customHeight="1" thickBot="1" thickTop="1">
      <c r="A15" s="38" t="s">
        <v>12</v>
      </c>
      <c r="B15" s="65">
        <f>IF(B9=0,0,IF(MAX(N11:O11)&lt;=USD!$O$123,MAX(N11:O11),IF(MAX(N13:O13)&lt;=USD!$O$124,MAX(N12:O13),IF(MAX(N15:O15)&lt;=USD!$O$125,MAX(N14:O15),IF(MAX(N17:O17)&lt;=USD!$O$126,MAX(N16:O17),IF(MAX(N19:O19)&lt;=USD!$O$127,MAX(N18:O19),IF(MAX(N21:O21)&lt;=USD!$O$128,MAX(N20:O21),MAX(N22:O23))))))))</f>
        <v>15628.888888888889</v>
      </c>
      <c r="C15" s="98"/>
      <c r="D15" s="65">
        <f>IF(D9=0,0,IF(MAX(P11:Q11)&lt;=USD!$O$123,MAX(P11:Q11),IF(MAX(P13:Q13)&lt;=USD!$O$124,MAX(P12:Q13),IF(MAX(P15:Q15)&lt;=USD!$O$125,MAX(P14:Q15),IF(MAX(P17:Q17)&lt;=USD!$O$126,MAX(P16:Q17),IF(MAX(P19:Q19)&lt;=USD!$O$127,MAX(P18:Q19),IF(MAX(P21:Q21)&lt;=USD!$O$128,MAX(P20:Q21),MAX(P22:Q23))))))))</f>
        <v>18977.777777777777</v>
      </c>
      <c r="E15" s="103"/>
      <c r="F15" s="65">
        <f>IF(F9=0,0,IF(MAX(R11:S11)&lt;=USD!$O$123,MAX(R11:S11),IF(MAX(R13:S13)&lt;=USD!$O$124,MAX(R12:S13),IF(MAX(R15:S15)&lt;=USD!$O$125,MAX(R14:S15),IF(MAX(R17:S17)&lt;=USD!$O$126,MAX(R16:S17),IF(MAX(R19:S19)&lt;=USD!$O$127,MAX(R18:S19),IF(MAX(R21:S21)&lt;=USD!$O$128,MAX(R20:S21),MAX(R22:S23))))))))</f>
        <v>75272.72727272726</v>
      </c>
      <c r="G15" s="103"/>
      <c r="H15" s="66">
        <v>18978</v>
      </c>
      <c r="I15" s="103"/>
      <c r="J15" s="65">
        <f>IF(J9=0,0,IF(MAX(V11:W11)&lt;=USD!$O$123,MAX(V11:W11),IF(MAX(V13:W13)&lt;=USD!$O$124,MAX(V12:W13),IF(MAX(V15:W15)&lt;=USD!$O$125,MAX(V14:W15),IF(MAX(V17:W17)&lt;=USD!$O$126,MAX(V16:W17),IF(MAX(V19:W19)&lt;=USD!$O$127,MAX(V18:W19),IF(MAX(V21:W21)&lt;=USD!$O$128,MAX(V20:W21),MAX(V22:W23))))))))</f>
        <v>7752.569230769231</v>
      </c>
      <c r="N15" s="81">
        <f>(B13+$N$6*$I$5)/USD!$Q$125</f>
        <v>13144.226666666667</v>
      </c>
      <c r="O15" s="81">
        <f>B13/USD!$P$125</f>
        <v>12787.272727272726</v>
      </c>
      <c r="P15" s="81">
        <f>(D13+$N$6*$I$5)/USD!$Q$125</f>
        <v>15153.56</v>
      </c>
      <c r="Q15" s="81">
        <f>D13/USD!$P$125</f>
        <v>15527.272727272726</v>
      </c>
      <c r="R15" s="81">
        <f>(F13+$N$6*$I$5)/USD!$Q$125</f>
        <v>58966.89333333333</v>
      </c>
      <c r="S15" s="81">
        <f>F13/USD!$P$125</f>
        <v>75272.72727272726</v>
      </c>
      <c r="V15" s="81">
        <f>(J13+$N$6*$I$5)/USD!$Q$125</f>
        <v>6718.893333333333</v>
      </c>
      <c r="W15" s="81">
        <f>J13/USD!$P$125</f>
        <v>4025.454545454545</v>
      </c>
    </row>
    <row r="16" spans="3:23" ht="13.5" customHeight="1" thickBot="1" thickTop="1">
      <c r="C16" s="103"/>
      <c r="D16" s="103"/>
      <c r="E16" s="103"/>
      <c r="F16" s="103"/>
      <c r="G16" s="103"/>
      <c r="H16" s="103"/>
      <c r="I16" s="103"/>
      <c r="J16" s="103"/>
      <c r="N16" s="81"/>
      <c r="O16" s="81">
        <f>USD!$O$125+0.01</f>
        <v>90000.01</v>
      </c>
      <c r="P16" s="81"/>
      <c r="Q16" s="81">
        <f>USD!$O$125+0.01</f>
        <v>90000.01</v>
      </c>
      <c r="R16" s="81"/>
      <c r="S16" s="81">
        <f>USD!$O$125+0.01</f>
        <v>90000.01</v>
      </c>
      <c r="V16" s="81"/>
      <c r="W16" s="81">
        <f>USD!$O$125+0.01</f>
        <v>90000.01</v>
      </c>
    </row>
    <row r="17" spans="1:23" ht="27" customHeight="1" thickBot="1" thickTop="1">
      <c r="A17" s="31" t="s">
        <v>13</v>
      </c>
      <c r="B17" s="67">
        <f>B9-B11</f>
        <v>179936.7</v>
      </c>
      <c r="C17" s="103"/>
      <c r="D17" s="67">
        <f>D9-D11</f>
        <v>218494.71428571432</v>
      </c>
      <c r="E17" s="103"/>
      <c r="F17" s="67">
        <f>F9-F11</f>
        <v>1059192</v>
      </c>
      <c r="G17" s="103"/>
      <c r="H17" s="67">
        <f>H9-H11</f>
        <v>218493</v>
      </c>
      <c r="I17" s="103"/>
      <c r="J17" s="68">
        <v>56646</v>
      </c>
      <c r="N17" s="81">
        <f>(B13+$N$6*$I$5)/USD!$Q$126</f>
        <v>12322.7125</v>
      </c>
      <c r="O17" s="81">
        <f>B13/USD!$P$126</f>
        <v>11721.666666666668</v>
      </c>
      <c r="P17" s="81">
        <f>(D13+$N$6*$I$5)/USD!$Q$126</f>
        <v>14206.4625</v>
      </c>
      <c r="Q17" s="81">
        <f>D13/USD!$P$126</f>
        <v>14233.333333333334</v>
      </c>
      <c r="R17" s="81">
        <f>(F13+$N$6*$I$5)/USD!$Q$126</f>
        <v>55281.462499999994</v>
      </c>
      <c r="S17" s="81">
        <f>F13/USD!$P$126</f>
        <v>69000</v>
      </c>
      <c r="V17" s="81">
        <f>(J13+$N$6*$I$5)/USD!$Q$126</f>
        <v>6298.9625</v>
      </c>
      <c r="W17" s="81">
        <f>J13/USD!$P$126</f>
        <v>3690</v>
      </c>
    </row>
    <row r="18" spans="14:23" ht="13.5" thickTop="1">
      <c r="N18" s="79"/>
      <c r="O18" s="81">
        <f>USD!$O$126+0.01</f>
        <v>180000.01</v>
      </c>
      <c r="P18" s="79"/>
      <c r="Q18" s="81">
        <f>USD!$O$126+0.01</f>
        <v>180000.01</v>
      </c>
      <c r="R18" s="79"/>
      <c r="S18" s="81">
        <f>USD!$O$126+0.01</f>
        <v>180000.01</v>
      </c>
      <c r="V18" s="79"/>
      <c r="W18" s="81">
        <f>USD!$O$126+0.01</f>
        <v>180000.01</v>
      </c>
    </row>
    <row r="19" spans="14:23" ht="12.75">
      <c r="N19" s="81">
        <f>(B13+$N$6*$I$5)/USD!$Q$127</f>
        <v>11597.84705882353</v>
      </c>
      <c r="O19" s="81">
        <f>B13/USD!$P$127</f>
        <v>10820</v>
      </c>
      <c r="P19" s="81">
        <f>(D13+$N$6*$I$5)/USD!$Q$127</f>
        <v>13370.788235294118</v>
      </c>
      <c r="Q19" s="81">
        <f>D13/USD!$P$127</f>
        <v>13138.461538461537</v>
      </c>
      <c r="R19" s="81">
        <f>(F13+$N$6*$I$5)/USD!$Q$127</f>
        <v>52029.61176470588</v>
      </c>
      <c r="S19" s="81">
        <f>F13/USD!$P$127</f>
        <v>63692.30769230769</v>
      </c>
      <c r="V19" s="81">
        <f>(J13+$N$6*$I$5)/USD!$Q$127</f>
        <v>5928.435294117648</v>
      </c>
      <c r="W19" s="81">
        <f>J13/USD!$P$127</f>
        <v>3406.153846153846</v>
      </c>
    </row>
    <row r="20" spans="14:23" ht="12.75">
      <c r="N20" s="79"/>
      <c r="O20" s="81">
        <f>USD!$O$127+0.01</f>
        <v>270000.01</v>
      </c>
      <c r="P20" s="79"/>
      <c r="Q20" s="81">
        <f>USD!$O$127+0.01</f>
        <v>270000.01</v>
      </c>
      <c r="R20" s="79"/>
      <c r="S20" s="81">
        <f>USD!$O$127+0.01</f>
        <v>270000.01</v>
      </c>
      <c r="V20" s="79"/>
      <c r="W20" s="81">
        <f>USD!$O$127+0.01</f>
        <v>270000.01</v>
      </c>
    </row>
    <row r="21" spans="14:23" ht="12.75">
      <c r="N21" s="81">
        <f>(B13+$N$6*$I$5)/USD!$Q$128</f>
        <v>10953.522222222222</v>
      </c>
      <c r="O21" s="81">
        <f>B13/USD!$P$128</f>
        <v>10047.142857142857</v>
      </c>
      <c r="P21" s="81">
        <f>(D13+$N$6*$I$5)/USD!$Q$128</f>
        <v>12627.966666666667</v>
      </c>
      <c r="Q21" s="81">
        <f>D13/USD!$P$128</f>
        <v>12200</v>
      </c>
      <c r="R21" s="81">
        <f>(F13+$N$6*$I$5)/USD!$Q$128</f>
        <v>49139.07777777778</v>
      </c>
      <c r="S21" s="81">
        <f>F13/USD!$P$128</f>
        <v>59142.857142857145</v>
      </c>
      <c r="V21" s="81">
        <f>(J13+$N$6*$I$5)/USD!$Q$128</f>
        <v>5599.077777777778</v>
      </c>
      <c r="W21" s="81">
        <f>J13/USD!$P$128</f>
        <v>3162.857142857143</v>
      </c>
    </row>
    <row r="22" spans="14:23" ht="12.75">
      <c r="N22" s="79"/>
      <c r="O22" s="81">
        <f>USD!$O$128+0.01</f>
        <v>360000.01</v>
      </c>
      <c r="P22" s="79"/>
      <c r="Q22" s="81">
        <f>USD!$O$128+0.01</f>
        <v>360000.01</v>
      </c>
      <c r="R22" s="79"/>
      <c r="S22" s="81">
        <f>USD!$O$128+0.01</f>
        <v>360000.01</v>
      </c>
      <c r="V22" s="79"/>
      <c r="W22" s="81">
        <f>USD!$O$128+0.01</f>
        <v>360000.01</v>
      </c>
    </row>
    <row r="23" spans="14:23" ht="12.75">
      <c r="N23" s="81">
        <f>(B13+$N$6*$I$5)/USD!$Q$129</f>
        <v>10377.021052631579</v>
      </c>
      <c r="O23" s="81">
        <f>B13/USD!$P$129</f>
        <v>9377.333333333334</v>
      </c>
      <c r="P23" s="81">
        <f>(D13+$N$6*$I$5)/USD!$Q$129</f>
        <v>11963.336842105264</v>
      </c>
      <c r="Q23" s="81">
        <f>D13/USD!$P$129</f>
        <v>11386.666666666666</v>
      </c>
      <c r="R23" s="81">
        <f>(F13+$N$6*$I$5)/USD!$Q$129</f>
        <v>46552.81052631579</v>
      </c>
      <c r="S23" s="81">
        <f>F13/USD!$P$129</f>
        <v>55200</v>
      </c>
      <c r="V23" s="81">
        <f>(J13+$N$6*$I$5)/USD!$Q$129</f>
        <v>5304.389473684211</v>
      </c>
      <c r="W23" s="81">
        <f>J13/USD!$P$129</f>
        <v>2952</v>
      </c>
    </row>
    <row r="25" spans="15:27" ht="12.75">
      <c r="O25" s="24"/>
      <c r="P25" s="25"/>
      <c r="Q25" s="30"/>
      <c r="R25" s="175" t="str">
        <f>USD!R26</f>
        <v>Готовое</v>
      </c>
      <c r="S25" s="175" t="str">
        <f>USD!S26</f>
        <v>Стройка</v>
      </c>
      <c r="T25" s="175" t="str">
        <f>USD!T26</f>
        <v>Нецелевой</v>
      </c>
      <c r="U25" s="199" t="str">
        <f>USD!U26</f>
        <v>Рефинансирование</v>
      </c>
      <c r="V25" s="199"/>
      <c r="W25" s="199" t="str">
        <f>USD!W26</f>
        <v>Сотрудники</v>
      </c>
      <c r="X25" s="199"/>
      <c r="Y25" s="199" t="str">
        <f>USD!Y26</f>
        <v>УЖУ</v>
      </c>
      <c r="Z25" s="199"/>
      <c r="AA25" s="199"/>
    </row>
    <row r="26" spans="15:27" ht="12.75">
      <c r="O26" s="24"/>
      <c r="P26" s="25"/>
      <c r="Q26" s="30"/>
      <c r="R26" s="175"/>
      <c r="S26" s="175"/>
      <c r="T26" s="175"/>
      <c r="U26" s="175" t="str">
        <f>USD!U27</f>
        <v>Готовое</v>
      </c>
      <c r="V26" s="175" t="str">
        <f>USD!V27</f>
        <v>Нецелевой</v>
      </c>
      <c r="W26" s="175" t="str">
        <f>USD!W27</f>
        <v>Готовое</v>
      </c>
      <c r="X26" s="175" t="str">
        <f>USD!X27</f>
        <v>Стройка</v>
      </c>
      <c r="Y26" s="175" t="str">
        <f>USD!Y27</f>
        <v>Собств.</v>
      </c>
      <c r="Z26" s="175" t="str">
        <f>USD!Z27</f>
        <v>Собств.+Покуп.</v>
      </c>
      <c r="AA26" s="175" t="str">
        <f>USD!AA27</f>
        <v>Не продается</v>
      </c>
    </row>
    <row r="27" spans="15:27" ht="12.75">
      <c r="O27" s="87" t="str">
        <f>USD!O28</f>
        <v>Остальные регионы</v>
      </c>
      <c r="P27" s="88">
        <f>USD!P28</f>
        <v>100</v>
      </c>
      <c r="Q27" s="88">
        <f>USD!Q28</f>
        <v>85</v>
      </c>
      <c r="R27" s="176">
        <f>USD!R28</f>
        <v>0.85</v>
      </c>
      <c r="S27" s="176">
        <f>USD!S28</f>
        <v>0.85</v>
      </c>
      <c r="T27" s="176">
        <f>USD!T28</f>
        <v>0.7</v>
      </c>
      <c r="U27" s="176">
        <f>USD!U28</f>
        <v>0.85</v>
      </c>
      <c r="V27" s="176">
        <f>USD!V28</f>
        <v>0.7</v>
      </c>
      <c r="W27" s="176">
        <f>USD!W28</f>
        <v>0.85</v>
      </c>
      <c r="X27" s="176">
        <f>USD!X28</f>
        <v>0.95</v>
      </c>
      <c r="Y27" s="176">
        <f>USD!Y28</f>
        <v>1</v>
      </c>
      <c r="Z27" s="176">
        <f>USD!Z28</f>
        <v>0.9</v>
      </c>
      <c r="AA27" s="176">
        <f>USD!AA28</f>
        <v>0.85</v>
      </c>
    </row>
    <row r="28" spans="15:27" ht="12.75">
      <c r="O28" s="87" t="str">
        <f>USD!O29</f>
        <v>Архангельская область (не включая г. Архангельск)</v>
      </c>
      <c r="P28" s="88">
        <f>USD!P29</f>
        <v>100</v>
      </c>
      <c r="Q28" s="88">
        <f>USD!Q29</f>
        <v>85</v>
      </c>
      <c r="R28" s="176">
        <f>USD!R29</f>
        <v>0.85</v>
      </c>
      <c r="S28" s="176">
        <f>USD!S29</f>
        <v>0.85</v>
      </c>
      <c r="T28" s="176">
        <f>USD!T29</f>
        <v>0.7</v>
      </c>
      <c r="U28" s="176">
        <f>USD!U29</f>
        <v>0.85</v>
      </c>
      <c r="V28" s="176">
        <f>USD!V29</f>
        <v>0.7</v>
      </c>
      <c r="W28" s="176">
        <f>USD!W29</f>
        <v>0.85</v>
      </c>
      <c r="X28" s="176">
        <f>USD!X29</f>
        <v>0.95</v>
      </c>
      <c r="Y28" s="176">
        <f>USD!Y29</f>
        <v>1</v>
      </c>
      <c r="Z28" s="176">
        <f>USD!Z29</f>
        <v>0.9</v>
      </c>
      <c r="AA28" s="176">
        <f>USD!AA29</f>
        <v>0.85</v>
      </c>
    </row>
    <row r="29" spans="15:27" ht="12.75">
      <c r="O29" s="87" t="str">
        <f>USD!O30</f>
        <v>г. Архангельск</v>
      </c>
      <c r="P29" s="88">
        <f>USD!P30</f>
        <v>100</v>
      </c>
      <c r="Q29" s="88">
        <f>USD!Q30</f>
        <v>85</v>
      </c>
      <c r="R29" s="176">
        <f>USD!R30</f>
        <v>0.9</v>
      </c>
      <c r="S29" s="176">
        <f>USD!S30</f>
        <v>0.85</v>
      </c>
      <c r="T29" s="176">
        <f>USD!T30</f>
        <v>0.7</v>
      </c>
      <c r="U29" s="176">
        <f>USD!U30</f>
        <v>0.85</v>
      </c>
      <c r="V29" s="176">
        <f>USD!V30</f>
        <v>0.7</v>
      </c>
      <c r="W29" s="176">
        <f>USD!W30</f>
        <v>0.9</v>
      </c>
      <c r="X29" s="176">
        <f>USD!X30</f>
        <v>0.95</v>
      </c>
      <c r="Y29" s="176">
        <f>USD!Y30</f>
        <v>1</v>
      </c>
      <c r="Z29" s="176">
        <f>USD!Z30</f>
        <v>0.9</v>
      </c>
      <c r="AA29" s="176">
        <f>USD!AA30</f>
        <v>0.85</v>
      </c>
    </row>
    <row r="30" spans="15:27" ht="12.75">
      <c r="O30" s="87" t="str">
        <f>USD!O31</f>
        <v>Астраханская область (не включая г. Астрахань)</v>
      </c>
      <c r="P30" s="88">
        <f>USD!P31</f>
        <v>100</v>
      </c>
      <c r="Q30" s="88">
        <f>USD!Q31</f>
        <v>85</v>
      </c>
      <c r="R30" s="176">
        <f>USD!R31</f>
        <v>0.85</v>
      </c>
      <c r="S30" s="176">
        <f>USD!S31</f>
        <v>0.85</v>
      </c>
      <c r="T30" s="176">
        <f>USD!T31</f>
        <v>0.7</v>
      </c>
      <c r="U30" s="176">
        <f>USD!U31</f>
        <v>0.85</v>
      </c>
      <c r="V30" s="176">
        <f>USD!V31</f>
        <v>0.7</v>
      </c>
      <c r="W30" s="176">
        <f>USD!W31</f>
        <v>0.85</v>
      </c>
      <c r="X30" s="176">
        <f>USD!X31</f>
        <v>0.95</v>
      </c>
      <c r="Y30" s="176">
        <f>USD!Y31</f>
        <v>1</v>
      </c>
      <c r="Z30" s="176">
        <f>USD!Z31</f>
        <v>0.9</v>
      </c>
      <c r="AA30" s="176">
        <f>USD!AA31</f>
        <v>0.85</v>
      </c>
    </row>
    <row r="31" spans="15:27" ht="12.75">
      <c r="O31" s="87" t="str">
        <f>USD!O32</f>
        <v>г. Астрахань</v>
      </c>
      <c r="P31" s="88">
        <f>USD!P32</f>
        <v>100</v>
      </c>
      <c r="Q31" s="88">
        <f>USD!Q32</f>
        <v>85</v>
      </c>
      <c r="R31" s="176">
        <f>USD!R32</f>
        <v>0.9</v>
      </c>
      <c r="S31" s="176">
        <f>USD!S32</f>
        <v>0.85</v>
      </c>
      <c r="T31" s="176">
        <f>USD!T32</f>
        <v>0.7</v>
      </c>
      <c r="U31" s="176">
        <f>USD!U32</f>
        <v>0.85</v>
      </c>
      <c r="V31" s="176">
        <f>USD!V32</f>
        <v>0.7</v>
      </c>
      <c r="W31" s="176">
        <f>USD!W32</f>
        <v>0.9</v>
      </c>
      <c r="X31" s="176">
        <f>USD!X32</f>
        <v>0.95</v>
      </c>
      <c r="Y31" s="176">
        <f>USD!Y32</f>
        <v>1</v>
      </c>
      <c r="Z31" s="176">
        <f>USD!Z32</f>
        <v>0.9</v>
      </c>
      <c r="AA31" s="176">
        <f>USD!AA32</f>
        <v>0.85</v>
      </c>
    </row>
    <row r="32" spans="15:27" ht="12.75">
      <c r="O32" s="87" t="str">
        <f>USD!O33</f>
        <v>Алтайский край (не включая г. Барнаул)</v>
      </c>
      <c r="P32" s="88">
        <f>USD!P33</f>
        <v>100</v>
      </c>
      <c r="Q32" s="88">
        <f>USD!Q33</f>
        <v>85</v>
      </c>
      <c r="R32" s="176">
        <f>USD!R33</f>
        <v>0.85</v>
      </c>
      <c r="S32" s="176">
        <f>USD!S33</f>
        <v>0.85</v>
      </c>
      <c r="T32" s="176">
        <f>USD!T33</f>
        <v>0.7</v>
      </c>
      <c r="U32" s="176">
        <f>USD!U33</f>
        <v>0.85</v>
      </c>
      <c r="V32" s="176">
        <f>USD!V33</f>
        <v>0.7</v>
      </c>
      <c r="W32" s="176">
        <f>USD!W33</f>
        <v>0.85</v>
      </c>
      <c r="X32" s="176">
        <f>USD!X33</f>
        <v>0.95</v>
      </c>
      <c r="Y32" s="176">
        <f>USD!Y33</f>
        <v>1</v>
      </c>
      <c r="Z32" s="176">
        <f>USD!Z33</f>
        <v>0.9</v>
      </c>
      <c r="AA32" s="176">
        <f>USD!AA33</f>
        <v>0.85</v>
      </c>
    </row>
    <row r="33" spans="15:27" ht="12.75">
      <c r="O33" s="87" t="str">
        <f>USD!O34</f>
        <v>г. Барнаул</v>
      </c>
      <c r="P33" s="88">
        <f>USD!P34</f>
        <v>100</v>
      </c>
      <c r="Q33" s="88">
        <f>USD!Q34</f>
        <v>85</v>
      </c>
      <c r="R33" s="176">
        <f>USD!R34</f>
        <v>0.9</v>
      </c>
      <c r="S33" s="176">
        <f>USD!S34</f>
        <v>0.85</v>
      </c>
      <c r="T33" s="176">
        <f>USD!T34</f>
        <v>0.7</v>
      </c>
      <c r="U33" s="176">
        <f>USD!U34</f>
        <v>0.85</v>
      </c>
      <c r="V33" s="176">
        <f>USD!V34</f>
        <v>0.7</v>
      </c>
      <c r="W33" s="176">
        <f>USD!W34</f>
        <v>0.9</v>
      </c>
      <c r="X33" s="176">
        <f>USD!X34</f>
        <v>0.95</v>
      </c>
      <c r="Y33" s="176">
        <f>USD!Y34</f>
        <v>1</v>
      </c>
      <c r="Z33" s="176">
        <f>USD!Z34</f>
        <v>0.9</v>
      </c>
      <c r="AA33" s="176">
        <f>USD!AA34</f>
        <v>0.85</v>
      </c>
    </row>
    <row r="34" spans="15:27" ht="12.75">
      <c r="O34" s="87" t="str">
        <f>USD!O35</f>
        <v>Белгородская область (не включая г. Белгород)</v>
      </c>
      <c r="P34" s="88">
        <f>USD!P35</f>
        <v>100</v>
      </c>
      <c r="Q34" s="88">
        <f>USD!Q35</f>
        <v>85</v>
      </c>
      <c r="R34" s="176">
        <f>USD!R35</f>
        <v>0.85</v>
      </c>
      <c r="S34" s="176">
        <f>USD!S35</f>
        <v>0.85</v>
      </c>
      <c r="T34" s="176">
        <f>USD!T35</f>
        <v>0.7</v>
      </c>
      <c r="U34" s="176">
        <f>USD!U35</f>
        <v>0.85</v>
      </c>
      <c r="V34" s="176">
        <f>USD!V35</f>
        <v>0.7</v>
      </c>
      <c r="W34" s="176">
        <f>USD!W35</f>
        <v>0.85</v>
      </c>
      <c r="X34" s="176">
        <f>USD!X35</f>
        <v>0.95</v>
      </c>
      <c r="Y34" s="176">
        <f>USD!Y35</f>
        <v>1</v>
      </c>
      <c r="Z34" s="176">
        <f>USD!Z35</f>
        <v>0.9</v>
      </c>
      <c r="AA34" s="176">
        <f>USD!AA35</f>
        <v>0.85</v>
      </c>
    </row>
    <row r="35" spans="15:27" ht="12.75">
      <c r="O35" s="87" t="str">
        <f>USD!O36</f>
        <v>г. Белгород</v>
      </c>
      <c r="P35" s="88">
        <f>USD!P36</f>
        <v>100</v>
      </c>
      <c r="Q35" s="88">
        <f>USD!Q36</f>
        <v>85</v>
      </c>
      <c r="R35" s="176">
        <f>USD!R36</f>
        <v>0.9</v>
      </c>
      <c r="S35" s="176">
        <f>USD!S36</f>
        <v>0.85</v>
      </c>
      <c r="T35" s="176">
        <f>USD!T36</f>
        <v>0.7</v>
      </c>
      <c r="U35" s="176">
        <f>USD!U36</f>
        <v>0.85</v>
      </c>
      <c r="V35" s="176">
        <f>USD!V36</f>
        <v>0.7</v>
      </c>
      <c r="W35" s="176">
        <f>USD!W36</f>
        <v>0.9</v>
      </c>
      <c r="X35" s="176">
        <f>USD!X36</f>
        <v>0.95</v>
      </c>
      <c r="Y35" s="176">
        <f>USD!Y36</f>
        <v>1</v>
      </c>
      <c r="Z35" s="176">
        <f>USD!Z36</f>
        <v>0.9</v>
      </c>
      <c r="AA35" s="176">
        <f>USD!AA36</f>
        <v>0.85</v>
      </c>
    </row>
    <row r="36" spans="15:27" ht="12.75">
      <c r="O36" s="87" t="str">
        <f>USD!O37</f>
        <v>Владимирская область (не включая г. Владимир)</v>
      </c>
      <c r="P36" s="88">
        <f>USD!P37</f>
        <v>100</v>
      </c>
      <c r="Q36" s="88">
        <f>USD!Q37</f>
        <v>85</v>
      </c>
      <c r="R36" s="176">
        <f>USD!R37</f>
        <v>0.85</v>
      </c>
      <c r="S36" s="176">
        <f>USD!S37</f>
        <v>0.85</v>
      </c>
      <c r="T36" s="176">
        <f>USD!T37</f>
        <v>0.7</v>
      </c>
      <c r="U36" s="176">
        <f>USD!U37</f>
        <v>0.85</v>
      </c>
      <c r="V36" s="176">
        <f>USD!V37</f>
        <v>0.7</v>
      </c>
      <c r="W36" s="176">
        <f>USD!W37</f>
        <v>0.85</v>
      </c>
      <c r="X36" s="176">
        <f>USD!X37</f>
        <v>0.95</v>
      </c>
      <c r="Y36" s="176">
        <f>USD!Y37</f>
        <v>1</v>
      </c>
      <c r="Z36" s="176">
        <f>USD!Z37</f>
        <v>0.9</v>
      </c>
      <c r="AA36" s="176">
        <f>USD!AA37</f>
        <v>0.85</v>
      </c>
    </row>
    <row r="37" spans="15:27" ht="12.75">
      <c r="O37" s="87" t="str">
        <f>USD!O38</f>
        <v>г. Владимир</v>
      </c>
      <c r="P37" s="88">
        <f>USD!P38</f>
        <v>100</v>
      </c>
      <c r="Q37" s="88">
        <f>USD!Q38</f>
        <v>85</v>
      </c>
      <c r="R37" s="176">
        <f>USD!R38</f>
        <v>0.9</v>
      </c>
      <c r="S37" s="176">
        <f>USD!S38</f>
        <v>0.85</v>
      </c>
      <c r="T37" s="176">
        <f>USD!T38</f>
        <v>0.7</v>
      </c>
      <c r="U37" s="176">
        <f>USD!U38</f>
        <v>0.85</v>
      </c>
      <c r="V37" s="176">
        <f>USD!V38</f>
        <v>0.7</v>
      </c>
      <c r="W37" s="176">
        <f>USD!W38</f>
        <v>0.9</v>
      </c>
      <c r="X37" s="176">
        <f>USD!X38</f>
        <v>0.95</v>
      </c>
      <c r="Y37" s="176">
        <f>USD!Y38</f>
        <v>1</v>
      </c>
      <c r="Z37" s="176">
        <f>USD!Z38</f>
        <v>0.9</v>
      </c>
      <c r="AA37" s="176">
        <f>USD!AA38</f>
        <v>0.85</v>
      </c>
    </row>
    <row r="38" spans="15:27" ht="12.75">
      <c r="O38" s="87" t="str">
        <f>USD!O39</f>
        <v>Волгоградская область (не включая г. Волгоград)</v>
      </c>
      <c r="P38" s="88">
        <f>USD!P39</f>
        <v>100</v>
      </c>
      <c r="Q38" s="88">
        <f>USD!Q39</f>
        <v>85</v>
      </c>
      <c r="R38" s="176">
        <f>USD!R39</f>
        <v>0.85</v>
      </c>
      <c r="S38" s="176">
        <f>USD!S39</f>
        <v>0.85</v>
      </c>
      <c r="T38" s="176">
        <f>USD!T39</f>
        <v>0.7</v>
      </c>
      <c r="U38" s="176">
        <f>USD!U39</f>
        <v>0.85</v>
      </c>
      <c r="V38" s="176">
        <f>USD!V39</f>
        <v>0.7</v>
      </c>
      <c r="W38" s="176">
        <f>USD!W39</f>
        <v>0.85</v>
      </c>
      <c r="X38" s="176">
        <f>USD!X39</f>
        <v>0.95</v>
      </c>
      <c r="Y38" s="176">
        <f>USD!Y39</f>
        <v>1</v>
      </c>
      <c r="Z38" s="176">
        <f>USD!Z39</f>
        <v>0.9</v>
      </c>
      <c r="AA38" s="176">
        <f>USD!AA39</f>
        <v>0.85</v>
      </c>
    </row>
    <row r="39" spans="15:27" ht="12.75">
      <c r="O39" s="87" t="str">
        <f>USD!O40</f>
        <v>г. Волгоград</v>
      </c>
      <c r="P39" s="88">
        <f>USD!P40</f>
        <v>100</v>
      </c>
      <c r="Q39" s="88">
        <f>USD!Q40</f>
        <v>85</v>
      </c>
      <c r="R39" s="176">
        <f>USD!R40</f>
        <v>0.9</v>
      </c>
      <c r="S39" s="176">
        <f>USD!S40</f>
        <v>0.85</v>
      </c>
      <c r="T39" s="176">
        <f>USD!T40</f>
        <v>0.7</v>
      </c>
      <c r="U39" s="176">
        <f>USD!U40</f>
        <v>0.85</v>
      </c>
      <c r="V39" s="176">
        <f>USD!V40</f>
        <v>0.7</v>
      </c>
      <c r="W39" s="176">
        <f>USD!W40</f>
        <v>0.9</v>
      </c>
      <c r="X39" s="176">
        <f>USD!X40</f>
        <v>0.95</v>
      </c>
      <c r="Y39" s="176">
        <f>USD!Y40</f>
        <v>1</v>
      </c>
      <c r="Z39" s="176">
        <f>USD!Z40</f>
        <v>0.9</v>
      </c>
      <c r="AA39" s="176">
        <f>USD!AA40</f>
        <v>0.85</v>
      </c>
    </row>
    <row r="40" spans="15:27" ht="12.75">
      <c r="O40" s="87" t="str">
        <f>USD!O41</f>
        <v>г. Вологда</v>
      </c>
      <c r="P40" s="88">
        <f>USD!P41</f>
        <v>120</v>
      </c>
      <c r="Q40" s="88">
        <f>USD!Q41</f>
        <v>100</v>
      </c>
      <c r="R40" s="176">
        <f>USD!R41</f>
        <v>0.9</v>
      </c>
      <c r="S40" s="176">
        <f>USD!S41</f>
        <v>0.85</v>
      </c>
      <c r="T40" s="176">
        <f>USD!T41</f>
        <v>0.7</v>
      </c>
      <c r="U40" s="176">
        <f>USD!U41</f>
        <v>0.85</v>
      </c>
      <c r="V40" s="176">
        <f>USD!V41</f>
        <v>0.7</v>
      </c>
      <c r="W40" s="176">
        <f>USD!W41</f>
        <v>0.9</v>
      </c>
      <c r="X40" s="176">
        <f>USD!X41</f>
        <v>0.95</v>
      </c>
      <c r="Y40" s="176">
        <f>USD!Y41</f>
        <v>1</v>
      </c>
      <c r="Z40" s="176">
        <f>USD!Z41</f>
        <v>0.9</v>
      </c>
      <c r="AA40" s="176">
        <f>USD!AA41</f>
        <v>0.85</v>
      </c>
    </row>
    <row r="41" spans="15:27" ht="12.75">
      <c r="O41" s="87" t="str">
        <f>USD!O42</f>
        <v>Воронежская область (включая г. Воронеж)</v>
      </c>
      <c r="P41" s="88">
        <f>USD!P42</f>
        <v>100</v>
      </c>
      <c r="Q41" s="88">
        <f>USD!Q42</f>
        <v>85</v>
      </c>
      <c r="R41" s="176">
        <f>USD!R42</f>
        <v>0.85</v>
      </c>
      <c r="S41" s="176">
        <f>USD!S42</f>
        <v>0.85</v>
      </c>
      <c r="T41" s="176">
        <f>USD!T42</f>
        <v>0.7</v>
      </c>
      <c r="U41" s="176">
        <f>USD!U42</f>
        <v>0.85</v>
      </c>
      <c r="V41" s="176">
        <f>USD!V42</f>
        <v>0.7</v>
      </c>
      <c r="W41" s="176">
        <f>USD!W42</f>
        <v>0.85</v>
      </c>
      <c r="X41" s="176">
        <f>USD!X42</f>
        <v>0.95</v>
      </c>
      <c r="Y41" s="176">
        <f>USD!Y42</f>
        <v>1</v>
      </c>
      <c r="Z41" s="176">
        <f>USD!Z42</f>
        <v>0.9</v>
      </c>
      <c r="AA41" s="176">
        <f>USD!AA42</f>
        <v>0.85</v>
      </c>
    </row>
    <row r="42" spans="15:27" ht="12.75">
      <c r="O42" s="87" t="str">
        <f>USD!O43</f>
        <v>Иркутская область (не включая г. Иркутск и г. Ангарск)</v>
      </c>
      <c r="P42" s="88">
        <f>USD!P43</f>
        <v>120</v>
      </c>
      <c r="Q42" s="88">
        <f>USD!Q43</f>
        <v>100</v>
      </c>
      <c r="R42" s="176">
        <f>USD!R43</f>
        <v>0.85</v>
      </c>
      <c r="S42" s="176">
        <f>USD!S43</f>
        <v>0.85</v>
      </c>
      <c r="T42" s="176">
        <f>USD!T43</f>
        <v>0.7</v>
      </c>
      <c r="U42" s="176">
        <f>USD!U43</f>
        <v>0.85</v>
      </c>
      <c r="V42" s="176">
        <f>USD!V43</f>
        <v>0.7</v>
      </c>
      <c r="W42" s="176">
        <f>USD!W43</f>
        <v>0.85</v>
      </c>
      <c r="X42" s="176">
        <f>USD!X43</f>
        <v>0.95</v>
      </c>
      <c r="Y42" s="176">
        <f>USD!Y43</f>
        <v>1</v>
      </c>
      <c r="Z42" s="176">
        <f>USD!Z43</f>
        <v>0.9</v>
      </c>
      <c r="AA42" s="176">
        <f>USD!AA43</f>
        <v>0.85</v>
      </c>
    </row>
    <row r="43" spans="15:27" ht="12.75">
      <c r="O43" s="87" t="str">
        <f>USD!O44</f>
        <v>г. Иркутск</v>
      </c>
      <c r="P43" s="88">
        <f>USD!P44</f>
        <v>120</v>
      </c>
      <c r="Q43" s="88">
        <f>USD!Q44</f>
        <v>100</v>
      </c>
      <c r="R43" s="176">
        <f>USD!R44</f>
        <v>0.9</v>
      </c>
      <c r="S43" s="176">
        <f>USD!S44</f>
        <v>0.85</v>
      </c>
      <c r="T43" s="176">
        <f>USD!T44</f>
        <v>0.7</v>
      </c>
      <c r="U43" s="176">
        <f>USD!U44</f>
        <v>0.85</v>
      </c>
      <c r="V43" s="176">
        <f>USD!V44</f>
        <v>0.7</v>
      </c>
      <c r="W43" s="176">
        <f>USD!W44</f>
        <v>0.9</v>
      </c>
      <c r="X43" s="176">
        <f>USD!X44</f>
        <v>0.95</v>
      </c>
      <c r="Y43" s="176">
        <f>USD!Y44</f>
        <v>1</v>
      </c>
      <c r="Z43" s="176">
        <f>USD!Z44</f>
        <v>0.9</v>
      </c>
      <c r="AA43" s="176">
        <f>USD!AA44</f>
        <v>0.85</v>
      </c>
    </row>
    <row r="44" spans="15:27" ht="12.75">
      <c r="O44" s="87" t="str">
        <f>USD!O45</f>
        <v>г. Ангарск</v>
      </c>
      <c r="P44" s="88">
        <f>USD!P45</f>
        <v>120</v>
      </c>
      <c r="Q44" s="88">
        <f>USD!Q45</f>
        <v>100</v>
      </c>
      <c r="R44" s="176">
        <f>USD!R45</f>
        <v>0.9</v>
      </c>
      <c r="S44" s="176">
        <f>USD!S45</f>
        <v>0.85</v>
      </c>
      <c r="T44" s="176">
        <f>USD!T45</f>
        <v>0.7</v>
      </c>
      <c r="U44" s="176">
        <f>USD!U45</f>
        <v>0.85</v>
      </c>
      <c r="V44" s="176">
        <f>USD!V45</f>
        <v>0.7</v>
      </c>
      <c r="W44" s="176">
        <f>USD!W45</f>
        <v>0.9</v>
      </c>
      <c r="X44" s="176">
        <f>USD!X45</f>
        <v>0.95</v>
      </c>
      <c r="Y44" s="176">
        <f>USD!Y45</f>
        <v>1</v>
      </c>
      <c r="Z44" s="176">
        <f>USD!Z45</f>
        <v>0.9</v>
      </c>
      <c r="AA44" s="176">
        <f>USD!AA45</f>
        <v>0.85</v>
      </c>
    </row>
    <row r="45" spans="15:27" ht="12.75">
      <c r="O45" s="87" t="str">
        <f>USD!O46</f>
        <v>Калининградская область (не включая г. Калининград)</v>
      </c>
      <c r="P45" s="88">
        <f>USD!P46</f>
        <v>100</v>
      </c>
      <c r="Q45" s="88">
        <f>USD!Q46</f>
        <v>85</v>
      </c>
      <c r="R45" s="176">
        <f>USD!R46</f>
        <v>0.85</v>
      </c>
      <c r="S45" s="176">
        <f>USD!S46</f>
        <v>0.85</v>
      </c>
      <c r="T45" s="176">
        <f>USD!T46</f>
        <v>0.7</v>
      </c>
      <c r="U45" s="176">
        <f>USD!U46</f>
        <v>0.85</v>
      </c>
      <c r="V45" s="176">
        <f>USD!V46</f>
        <v>0.7</v>
      </c>
      <c r="W45" s="176">
        <f>USD!W46</f>
        <v>0.85</v>
      </c>
      <c r="X45" s="176">
        <f>USD!X46</f>
        <v>0.95</v>
      </c>
      <c r="Y45" s="176">
        <f>USD!Y46</f>
        <v>1</v>
      </c>
      <c r="Z45" s="176">
        <f>USD!Z46</f>
        <v>0.9</v>
      </c>
      <c r="AA45" s="176">
        <f>USD!AA46</f>
        <v>0.85</v>
      </c>
    </row>
    <row r="46" spans="15:27" ht="12.75">
      <c r="O46" s="87" t="str">
        <f>USD!O47</f>
        <v>г. Калининград</v>
      </c>
      <c r="P46" s="88">
        <f>USD!P47</f>
        <v>100</v>
      </c>
      <c r="Q46" s="88">
        <f>USD!Q47</f>
        <v>85</v>
      </c>
      <c r="R46" s="176">
        <f>USD!R47</f>
        <v>0.9</v>
      </c>
      <c r="S46" s="176">
        <f>USD!S47</f>
        <v>0.85</v>
      </c>
      <c r="T46" s="176">
        <f>USD!T47</f>
        <v>0.7</v>
      </c>
      <c r="U46" s="176">
        <f>USD!U47</f>
        <v>0.85</v>
      </c>
      <c r="V46" s="176">
        <f>USD!V47</f>
        <v>0.7</v>
      </c>
      <c r="W46" s="176">
        <f>USD!W47</f>
        <v>0.9</v>
      </c>
      <c r="X46" s="176">
        <f>USD!X47</f>
        <v>0.95</v>
      </c>
      <c r="Y46" s="176">
        <f>USD!Y47</f>
        <v>1</v>
      </c>
      <c r="Z46" s="176">
        <f>USD!Z47</f>
        <v>0.9</v>
      </c>
      <c r="AA46" s="176">
        <f>USD!AA47</f>
        <v>0.85</v>
      </c>
    </row>
    <row r="47" spans="15:27" ht="12.75">
      <c r="O47" s="87" t="str">
        <f>USD!O48</f>
        <v>Кемеровская область (не включая г. Кемерово)</v>
      </c>
      <c r="P47" s="88">
        <f>USD!P48</f>
        <v>100</v>
      </c>
      <c r="Q47" s="88">
        <f>USD!Q48</f>
        <v>85</v>
      </c>
      <c r="R47" s="176">
        <f>USD!R48</f>
        <v>0.85</v>
      </c>
      <c r="S47" s="176">
        <f>USD!S48</f>
        <v>0.85</v>
      </c>
      <c r="T47" s="176">
        <f>USD!T48</f>
        <v>0.7</v>
      </c>
      <c r="U47" s="176">
        <f>USD!U48</f>
        <v>0.85</v>
      </c>
      <c r="V47" s="176">
        <f>USD!V48</f>
        <v>0.7</v>
      </c>
      <c r="W47" s="176">
        <f>USD!W48</f>
        <v>0.85</v>
      </c>
      <c r="X47" s="176">
        <f>USD!X48</f>
        <v>0.95</v>
      </c>
      <c r="Y47" s="176">
        <f>USD!Y48</f>
        <v>1</v>
      </c>
      <c r="Z47" s="176">
        <f>USD!Z48</f>
        <v>0.9</v>
      </c>
      <c r="AA47" s="176">
        <f>USD!AA48</f>
        <v>0.85</v>
      </c>
    </row>
    <row r="48" spans="15:27" ht="12.75">
      <c r="O48" s="87" t="str">
        <f>USD!O49</f>
        <v>г. Кемерово</v>
      </c>
      <c r="P48" s="88">
        <f>USD!P49</f>
        <v>100</v>
      </c>
      <c r="Q48" s="88">
        <f>USD!Q49</f>
        <v>85</v>
      </c>
      <c r="R48" s="176">
        <f>USD!R49</f>
        <v>0.9</v>
      </c>
      <c r="S48" s="176">
        <f>USD!S49</f>
        <v>0.85</v>
      </c>
      <c r="T48" s="176">
        <f>USD!T49</f>
        <v>0.7</v>
      </c>
      <c r="U48" s="176">
        <f>USD!U49</f>
        <v>0.85</v>
      </c>
      <c r="V48" s="176">
        <f>USD!V49</f>
        <v>0.7</v>
      </c>
      <c r="W48" s="176">
        <f>USD!W49</f>
        <v>0.9</v>
      </c>
      <c r="X48" s="176">
        <f>USD!X49</f>
        <v>0.95</v>
      </c>
      <c r="Y48" s="176">
        <f>USD!Y49</f>
        <v>1</v>
      </c>
      <c r="Z48" s="176">
        <f>USD!Z49</f>
        <v>0.9</v>
      </c>
      <c r="AA48" s="176">
        <f>USD!AA49</f>
        <v>0.85</v>
      </c>
    </row>
    <row r="49" spans="15:27" ht="12.75">
      <c r="O49" s="87" t="str">
        <f>USD!O50</f>
        <v>Костромская область (не включая г. Кострома)</v>
      </c>
      <c r="P49" s="88">
        <f>USD!P50</f>
        <v>100</v>
      </c>
      <c r="Q49" s="88">
        <f>USD!Q50</f>
        <v>85</v>
      </c>
      <c r="R49" s="176">
        <f>USD!R50</f>
        <v>0.85</v>
      </c>
      <c r="S49" s="176">
        <f>USD!S50</f>
        <v>0.85</v>
      </c>
      <c r="T49" s="176">
        <f>USD!T50</f>
        <v>0.7</v>
      </c>
      <c r="U49" s="176">
        <f>USD!U50</f>
        <v>0.85</v>
      </c>
      <c r="V49" s="176">
        <f>USD!V50</f>
        <v>0.7</v>
      </c>
      <c r="W49" s="176">
        <f>USD!W50</f>
        <v>0.85</v>
      </c>
      <c r="X49" s="176">
        <f>USD!X50</f>
        <v>0.95</v>
      </c>
      <c r="Y49" s="176">
        <f>USD!Y50</f>
        <v>1</v>
      </c>
      <c r="Z49" s="176">
        <f>USD!Z50</f>
        <v>0.9</v>
      </c>
      <c r="AA49" s="176">
        <f>USD!AA50</f>
        <v>0.85</v>
      </c>
    </row>
    <row r="50" spans="15:27" ht="12.75">
      <c r="O50" s="87" t="str">
        <f>USD!O51</f>
        <v>г. Кострома</v>
      </c>
      <c r="P50" s="88">
        <f>USD!P51</f>
        <v>100</v>
      </c>
      <c r="Q50" s="88">
        <f>USD!Q51</f>
        <v>85</v>
      </c>
      <c r="R50" s="176">
        <f>USD!R51</f>
        <v>0.9</v>
      </c>
      <c r="S50" s="176">
        <f>USD!S51</f>
        <v>0.85</v>
      </c>
      <c r="T50" s="176">
        <f>USD!T51</f>
        <v>0.7</v>
      </c>
      <c r="U50" s="176">
        <f>USD!U51</f>
        <v>0.85</v>
      </c>
      <c r="V50" s="176">
        <f>USD!V51</f>
        <v>0.7</v>
      </c>
      <c r="W50" s="176">
        <f>USD!W51</f>
        <v>0.9</v>
      </c>
      <c r="X50" s="176">
        <f>USD!X51</f>
        <v>0.95</v>
      </c>
      <c r="Y50" s="176">
        <f>USD!Y51</f>
        <v>1</v>
      </c>
      <c r="Z50" s="176">
        <f>USD!Z51</f>
        <v>0.9</v>
      </c>
      <c r="AA50" s="176">
        <f>USD!AA51</f>
        <v>0.85</v>
      </c>
    </row>
    <row r="51" spans="15:27" ht="12.75">
      <c r="O51" s="87" t="str">
        <f>USD!O52</f>
        <v>Краснодарский край (не включая г. Краснодар и г. Сочи)</v>
      </c>
      <c r="P51" s="88">
        <f>USD!P52</f>
        <v>100</v>
      </c>
      <c r="Q51" s="88">
        <f>USD!Q52</f>
        <v>85</v>
      </c>
      <c r="R51" s="176">
        <f>USD!R52</f>
        <v>0.85</v>
      </c>
      <c r="S51" s="176">
        <f>USD!S52</f>
        <v>0.85</v>
      </c>
      <c r="T51" s="176">
        <f>USD!T52</f>
        <v>0.7</v>
      </c>
      <c r="U51" s="176">
        <f>USD!U52</f>
        <v>0.85</v>
      </c>
      <c r="V51" s="176">
        <f>USD!V52</f>
        <v>0.7</v>
      </c>
      <c r="W51" s="176">
        <f>USD!W52</f>
        <v>0.85</v>
      </c>
      <c r="X51" s="176">
        <f>USD!X52</f>
        <v>0.95</v>
      </c>
      <c r="Y51" s="176">
        <f>USD!Y52</f>
        <v>1</v>
      </c>
      <c r="Z51" s="176">
        <f>USD!Z52</f>
        <v>0.9</v>
      </c>
      <c r="AA51" s="176">
        <f>USD!AA52</f>
        <v>0.85</v>
      </c>
    </row>
    <row r="52" spans="15:27" ht="12.75">
      <c r="O52" s="87" t="str">
        <f>USD!O53</f>
        <v>г. Краснодар</v>
      </c>
      <c r="P52" s="88">
        <f>USD!P53</f>
        <v>100</v>
      </c>
      <c r="Q52" s="88">
        <f>USD!Q53</f>
        <v>85</v>
      </c>
      <c r="R52" s="176">
        <f>USD!R53</f>
        <v>0.9</v>
      </c>
      <c r="S52" s="176">
        <f>USD!S53</f>
        <v>0.85</v>
      </c>
      <c r="T52" s="176">
        <f>USD!T53</f>
        <v>0.7</v>
      </c>
      <c r="U52" s="176">
        <f>USD!U53</f>
        <v>0.85</v>
      </c>
      <c r="V52" s="176">
        <f>USD!V53</f>
        <v>0.7</v>
      </c>
      <c r="W52" s="176">
        <f>USD!W53</f>
        <v>0.9</v>
      </c>
      <c r="X52" s="176">
        <f>USD!X53</f>
        <v>0.95</v>
      </c>
      <c r="Y52" s="176">
        <f>USD!Y53</f>
        <v>1</v>
      </c>
      <c r="Z52" s="176">
        <f>USD!Z53</f>
        <v>0.9</v>
      </c>
      <c r="AA52" s="176">
        <f>USD!AA53</f>
        <v>0.85</v>
      </c>
    </row>
    <row r="53" spans="15:27" ht="12.75">
      <c r="O53" s="87" t="str">
        <f>USD!O54</f>
        <v>г. Сочи</v>
      </c>
      <c r="P53" s="88">
        <f>USD!P54</f>
        <v>100</v>
      </c>
      <c r="Q53" s="88">
        <f>USD!Q54</f>
        <v>85</v>
      </c>
      <c r="R53" s="176">
        <f>USD!R54</f>
        <v>0.9</v>
      </c>
      <c r="S53" s="176">
        <f>USD!S54</f>
        <v>0.85</v>
      </c>
      <c r="T53" s="176">
        <f>USD!T54</f>
        <v>0.7</v>
      </c>
      <c r="U53" s="176">
        <f>USD!U54</f>
        <v>0.85</v>
      </c>
      <c r="V53" s="176">
        <f>USD!V54</f>
        <v>0.7</v>
      </c>
      <c r="W53" s="176">
        <f>USD!W54</f>
        <v>0.9</v>
      </c>
      <c r="X53" s="176">
        <f>USD!X54</f>
        <v>0.95</v>
      </c>
      <c r="Y53" s="176">
        <f>USD!Y54</f>
        <v>1</v>
      </c>
      <c r="Z53" s="176">
        <f>USD!Z54</f>
        <v>0.9</v>
      </c>
      <c r="AA53" s="176">
        <f>USD!AA54</f>
        <v>0.85</v>
      </c>
    </row>
    <row r="54" spans="15:27" ht="12.75">
      <c r="O54" s="87" t="str">
        <f>USD!O55</f>
        <v>Красноярский край (не включая г. Красноярск)</v>
      </c>
      <c r="P54" s="88">
        <f>USD!P55</f>
        <v>100</v>
      </c>
      <c r="Q54" s="88">
        <f>USD!Q55</f>
        <v>85</v>
      </c>
      <c r="R54" s="176">
        <f>USD!R55</f>
        <v>0.85</v>
      </c>
      <c r="S54" s="176">
        <f>USD!S55</f>
        <v>0.85</v>
      </c>
      <c r="T54" s="176">
        <f>USD!T55</f>
        <v>0.7</v>
      </c>
      <c r="U54" s="176">
        <f>USD!U55</f>
        <v>0.85</v>
      </c>
      <c r="V54" s="176">
        <f>USD!V55</f>
        <v>0.7</v>
      </c>
      <c r="W54" s="176">
        <f>USD!W55</f>
        <v>0.85</v>
      </c>
      <c r="X54" s="176">
        <f>USD!X55</f>
        <v>0.95</v>
      </c>
      <c r="Y54" s="176">
        <f>USD!Y55</f>
        <v>1</v>
      </c>
      <c r="Z54" s="176">
        <f>USD!Z55</f>
        <v>0.9</v>
      </c>
      <c r="AA54" s="176">
        <f>USD!AA55</f>
        <v>0.85</v>
      </c>
    </row>
    <row r="55" spans="15:27" ht="12.75">
      <c r="O55" s="87" t="str">
        <f>USD!O56</f>
        <v>г. Красноярск</v>
      </c>
      <c r="P55" s="88">
        <f>USD!P56</f>
        <v>100</v>
      </c>
      <c r="Q55" s="88">
        <f>USD!Q56</f>
        <v>85</v>
      </c>
      <c r="R55" s="176">
        <f>USD!R56</f>
        <v>1</v>
      </c>
      <c r="S55" s="176">
        <f>USD!S56</f>
        <v>0.95</v>
      </c>
      <c r="T55" s="176">
        <f>USD!T56</f>
        <v>0.9</v>
      </c>
      <c r="U55" s="176">
        <f>USD!U56</f>
        <v>0.95</v>
      </c>
      <c r="V55" s="176">
        <f>USD!V56</f>
        <v>0.95</v>
      </c>
      <c r="W55" s="176">
        <f>USD!W56</f>
        <v>1</v>
      </c>
      <c r="X55" s="176">
        <f>USD!X56</f>
        <v>0.95</v>
      </c>
      <c r="Y55" s="176">
        <f>USD!Y56</f>
        <v>1</v>
      </c>
      <c r="Z55" s="176">
        <f>USD!Z56</f>
        <v>0.9</v>
      </c>
      <c r="AA55" s="176">
        <f>USD!AA56</f>
        <v>0.85</v>
      </c>
    </row>
    <row r="56" spans="15:27" ht="12.75">
      <c r="O56" s="87" t="str">
        <f>USD!O57</f>
        <v>Курская область (не включая г. Курск)</v>
      </c>
      <c r="P56" s="88">
        <f>USD!P57</f>
        <v>100</v>
      </c>
      <c r="Q56" s="88">
        <f>USD!Q57</f>
        <v>85</v>
      </c>
      <c r="R56" s="176">
        <f>USD!R57</f>
        <v>0.85</v>
      </c>
      <c r="S56" s="176">
        <f>USD!S57</f>
        <v>0.85</v>
      </c>
      <c r="T56" s="176">
        <f>USD!T57</f>
        <v>0.7</v>
      </c>
      <c r="U56" s="176">
        <f>USD!U57</f>
        <v>0.85</v>
      </c>
      <c r="V56" s="176">
        <f>USD!V57</f>
        <v>0.7</v>
      </c>
      <c r="W56" s="176">
        <f>USD!W57</f>
        <v>0.85</v>
      </c>
      <c r="X56" s="176">
        <f>USD!X57</f>
        <v>0.95</v>
      </c>
      <c r="Y56" s="176">
        <f>USD!Y57</f>
        <v>1</v>
      </c>
      <c r="Z56" s="176">
        <f>USD!Z57</f>
        <v>0.9</v>
      </c>
      <c r="AA56" s="176">
        <f>USD!AA57</f>
        <v>0.85</v>
      </c>
    </row>
    <row r="57" spans="15:27" ht="12.75">
      <c r="O57" s="87" t="str">
        <f>USD!O58</f>
        <v>г. Курск</v>
      </c>
      <c r="P57" s="88">
        <f>USD!P58</f>
        <v>100</v>
      </c>
      <c r="Q57" s="88">
        <f>USD!Q58</f>
        <v>85</v>
      </c>
      <c r="R57" s="176">
        <f>USD!R58</f>
        <v>0.9</v>
      </c>
      <c r="S57" s="176">
        <f>USD!S58</f>
        <v>0.85</v>
      </c>
      <c r="T57" s="176">
        <f>USD!T58</f>
        <v>0.7</v>
      </c>
      <c r="U57" s="176">
        <f>USD!U58</f>
        <v>0.85</v>
      </c>
      <c r="V57" s="176">
        <f>USD!V58</f>
        <v>0.7</v>
      </c>
      <c r="W57" s="176">
        <f>USD!W58</f>
        <v>0.9</v>
      </c>
      <c r="X57" s="176">
        <f>USD!X58</f>
        <v>0.95</v>
      </c>
      <c r="Y57" s="176">
        <f>USD!Y58</f>
        <v>1</v>
      </c>
      <c r="Z57" s="176">
        <f>USD!Z58</f>
        <v>0.9</v>
      </c>
      <c r="AA57" s="176">
        <f>USD!AA58</f>
        <v>0.85</v>
      </c>
    </row>
    <row r="58" spans="15:27" ht="12.75">
      <c r="O58" s="87" t="str">
        <f>USD!O59</f>
        <v>Ленинградская область (включая г. Санкт-Петербург)</v>
      </c>
      <c r="P58" s="88">
        <f>USD!P59</f>
        <v>120</v>
      </c>
      <c r="Q58" s="88">
        <f>USD!Q59</f>
        <v>100</v>
      </c>
      <c r="R58" s="176">
        <f>USD!R59</f>
        <v>1</v>
      </c>
      <c r="S58" s="176">
        <f>USD!S59</f>
        <v>0.95</v>
      </c>
      <c r="T58" s="176">
        <f>USD!T59</f>
        <v>0.9</v>
      </c>
      <c r="U58" s="176">
        <f>USD!U59</f>
        <v>0.95</v>
      </c>
      <c r="V58" s="176">
        <f>USD!V59</f>
        <v>0.95</v>
      </c>
      <c r="W58" s="176">
        <f>USD!W59</f>
        <v>1</v>
      </c>
      <c r="X58" s="176">
        <f>USD!X59</f>
        <v>0.95</v>
      </c>
      <c r="Y58" s="176">
        <f>USD!Y59</f>
        <v>1</v>
      </c>
      <c r="Z58" s="176">
        <f>USD!Z59</f>
        <v>0.9</v>
      </c>
      <c r="AA58" s="176">
        <f>USD!AA59</f>
        <v>0.85</v>
      </c>
    </row>
    <row r="59" spans="15:27" ht="12.75">
      <c r="O59" s="87" t="str">
        <f>USD!O60</f>
        <v>Липецкая область (не включая г. Липецк)</v>
      </c>
      <c r="P59" s="88">
        <f>USD!P60</f>
        <v>100</v>
      </c>
      <c r="Q59" s="88">
        <f>USD!Q60</f>
        <v>85</v>
      </c>
      <c r="R59" s="176">
        <f>USD!R60</f>
        <v>0.85</v>
      </c>
      <c r="S59" s="176">
        <f>USD!S60</f>
        <v>0.85</v>
      </c>
      <c r="T59" s="176">
        <f>USD!T60</f>
        <v>0.7</v>
      </c>
      <c r="U59" s="176">
        <f>USD!U60</f>
        <v>0.85</v>
      </c>
      <c r="V59" s="176">
        <f>USD!V60</f>
        <v>0.7</v>
      </c>
      <c r="W59" s="176">
        <f>USD!W60</f>
        <v>0.85</v>
      </c>
      <c r="X59" s="176">
        <f>USD!X60</f>
        <v>0.95</v>
      </c>
      <c r="Y59" s="176">
        <f>USD!Y60</f>
        <v>1</v>
      </c>
      <c r="Z59" s="176">
        <f>USD!Z60</f>
        <v>0.9</v>
      </c>
      <c r="AA59" s="176">
        <f>USD!AA60</f>
        <v>0.85</v>
      </c>
    </row>
    <row r="60" spans="15:27" ht="12.75">
      <c r="O60" s="87" t="str">
        <f>USD!O61</f>
        <v>г. Липецк</v>
      </c>
      <c r="P60" s="88">
        <f>USD!P61</f>
        <v>100</v>
      </c>
      <c r="Q60" s="88">
        <f>USD!Q61</f>
        <v>85</v>
      </c>
      <c r="R60" s="176">
        <f>USD!R61</f>
        <v>0.9</v>
      </c>
      <c r="S60" s="176">
        <f>USD!S61</f>
        <v>0.85</v>
      </c>
      <c r="T60" s="176">
        <f>USD!T61</f>
        <v>0.7</v>
      </c>
      <c r="U60" s="176">
        <f>USD!U61</f>
        <v>0.85</v>
      </c>
      <c r="V60" s="176">
        <f>USD!V61</f>
        <v>0.7</v>
      </c>
      <c r="W60" s="176">
        <f>USD!W61</f>
        <v>0.9</v>
      </c>
      <c r="X60" s="176">
        <f>USD!X61</f>
        <v>0.95</v>
      </c>
      <c r="Y60" s="176">
        <f>USD!Y61</f>
        <v>1</v>
      </c>
      <c r="Z60" s="176">
        <f>USD!Z61</f>
        <v>0.9</v>
      </c>
      <c r="AA60" s="176">
        <f>USD!AA61</f>
        <v>0.85</v>
      </c>
    </row>
    <row r="61" spans="15:27" ht="12.75">
      <c r="O61" s="87" t="str">
        <f>USD!O62</f>
        <v>Нижегородская область (не включая г. Нижний Новгород)</v>
      </c>
      <c r="P61" s="88">
        <f>USD!P62</f>
        <v>100</v>
      </c>
      <c r="Q61" s="88">
        <f>USD!Q62</f>
        <v>85</v>
      </c>
      <c r="R61" s="176">
        <f>USD!R62</f>
        <v>0.85</v>
      </c>
      <c r="S61" s="176">
        <f>USD!S62</f>
        <v>0.85</v>
      </c>
      <c r="T61" s="176">
        <f>USD!T62</f>
        <v>0.7</v>
      </c>
      <c r="U61" s="176">
        <f>USD!U62</f>
        <v>0.85</v>
      </c>
      <c r="V61" s="176">
        <f>USD!V62</f>
        <v>0.7</v>
      </c>
      <c r="W61" s="176">
        <f>USD!W62</f>
        <v>0.85</v>
      </c>
      <c r="X61" s="176">
        <f>USD!X62</f>
        <v>0.95</v>
      </c>
      <c r="Y61" s="176">
        <f>USD!Y62</f>
        <v>1</v>
      </c>
      <c r="Z61" s="176">
        <f>USD!Z62</f>
        <v>0.9</v>
      </c>
      <c r="AA61" s="176">
        <f>USD!AA62</f>
        <v>0.85</v>
      </c>
    </row>
    <row r="62" spans="15:27" ht="12.75">
      <c r="O62" s="87" t="str">
        <f>USD!O63</f>
        <v>г. Нижний Новгород</v>
      </c>
      <c r="P62" s="88">
        <f>USD!P63</f>
        <v>100</v>
      </c>
      <c r="Q62" s="88">
        <f>USD!Q63</f>
        <v>85</v>
      </c>
      <c r="R62" s="176">
        <f>USD!R63</f>
        <v>1</v>
      </c>
      <c r="S62" s="176">
        <f>USD!S63</f>
        <v>0.95</v>
      </c>
      <c r="T62" s="176">
        <f>USD!T63</f>
        <v>0.9</v>
      </c>
      <c r="U62" s="176">
        <f>USD!U63</f>
        <v>0.95</v>
      </c>
      <c r="V62" s="176">
        <f>USD!V63</f>
        <v>0.95</v>
      </c>
      <c r="W62" s="176">
        <f>USD!W63</f>
        <v>1</v>
      </c>
      <c r="X62" s="176">
        <f>USD!X63</f>
        <v>0.95</v>
      </c>
      <c r="Y62" s="176">
        <f>USD!Y63</f>
        <v>1</v>
      </c>
      <c r="Z62" s="176">
        <f>USD!Z63</f>
        <v>0.9</v>
      </c>
      <c r="AA62" s="176">
        <f>USD!AA63</f>
        <v>0.85</v>
      </c>
    </row>
    <row r="63" spans="15:27" ht="12.75">
      <c r="O63" s="87" t="str">
        <f>USD!O64</f>
        <v>Новосибирская область (не включая г. Новосибирск)</v>
      </c>
      <c r="P63" s="88">
        <f>USD!P64</f>
        <v>100</v>
      </c>
      <c r="Q63" s="88">
        <f>USD!Q64</f>
        <v>85</v>
      </c>
      <c r="R63" s="176">
        <f>USD!R64</f>
        <v>0.85</v>
      </c>
      <c r="S63" s="176">
        <f>USD!S64</f>
        <v>0.85</v>
      </c>
      <c r="T63" s="176">
        <f>USD!T64</f>
        <v>0.7</v>
      </c>
      <c r="U63" s="176">
        <f>USD!U64</f>
        <v>0.85</v>
      </c>
      <c r="V63" s="176">
        <f>USD!V64</f>
        <v>0.7</v>
      </c>
      <c r="W63" s="176">
        <f>USD!W64</f>
        <v>0.85</v>
      </c>
      <c r="X63" s="176">
        <f>USD!X64</f>
        <v>0.95</v>
      </c>
      <c r="Y63" s="176">
        <f>USD!Y64</f>
        <v>1</v>
      </c>
      <c r="Z63" s="176">
        <f>USD!Z64</f>
        <v>0.9</v>
      </c>
      <c r="AA63" s="176">
        <f>USD!AA64</f>
        <v>0.85</v>
      </c>
    </row>
    <row r="64" spans="15:27" ht="12.75">
      <c r="O64" s="87" t="str">
        <f>USD!O65</f>
        <v>г. Новосибирск</v>
      </c>
      <c r="P64" s="88">
        <f>USD!P65</f>
        <v>100</v>
      </c>
      <c r="Q64" s="88">
        <f>USD!Q65</f>
        <v>85</v>
      </c>
      <c r="R64" s="176">
        <f>USD!R65</f>
        <v>1</v>
      </c>
      <c r="S64" s="176">
        <f>USD!S65</f>
        <v>0.95</v>
      </c>
      <c r="T64" s="176">
        <f>USD!T65</f>
        <v>0.9</v>
      </c>
      <c r="U64" s="176">
        <f>USD!U65</f>
        <v>0.95</v>
      </c>
      <c r="V64" s="176">
        <f>USD!V65</f>
        <v>0.95</v>
      </c>
      <c r="W64" s="176">
        <f>USD!W65</f>
        <v>1</v>
      </c>
      <c r="X64" s="176">
        <f>USD!X65</f>
        <v>0.95</v>
      </c>
      <c r="Y64" s="176">
        <f>USD!Y65</f>
        <v>1</v>
      </c>
      <c r="Z64" s="176">
        <f>USD!Z65</f>
        <v>0.9</v>
      </c>
      <c r="AA64" s="176">
        <f>USD!AA65</f>
        <v>0.85</v>
      </c>
    </row>
    <row r="65" spans="15:27" ht="12.75">
      <c r="O65" s="87" t="str">
        <f>USD!O66</f>
        <v>Омская область (не включая г. Омск)</v>
      </c>
      <c r="P65" s="88">
        <f>USD!P66</f>
        <v>100</v>
      </c>
      <c r="Q65" s="88">
        <f>USD!Q66</f>
        <v>85</v>
      </c>
      <c r="R65" s="176">
        <f>USD!R66</f>
        <v>0.85</v>
      </c>
      <c r="S65" s="176">
        <f>USD!S66</f>
        <v>0.85</v>
      </c>
      <c r="T65" s="176">
        <f>USD!T66</f>
        <v>0.7</v>
      </c>
      <c r="U65" s="176">
        <f>USD!U66</f>
        <v>0.85</v>
      </c>
      <c r="V65" s="176">
        <f>USD!V66</f>
        <v>0.7</v>
      </c>
      <c r="W65" s="176">
        <f>USD!W66</f>
        <v>0.85</v>
      </c>
      <c r="X65" s="176">
        <f>USD!X66</f>
        <v>0.95</v>
      </c>
      <c r="Y65" s="176">
        <f>USD!Y66</f>
        <v>1</v>
      </c>
      <c r="Z65" s="176">
        <f>USD!Z66</f>
        <v>0.9</v>
      </c>
      <c r="AA65" s="176">
        <f>USD!AA66</f>
        <v>0.85</v>
      </c>
    </row>
    <row r="66" spans="15:27" ht="12.75">
      <c r="O66" s="87" t="str">
        <f>USD!O67</f>
        <v>г. Омск</v>
      </c>
      <c r="P66" s="88">
        <f>USD!P67</f>
        <v>100</v>
      </c>
      <c r="Q66" s="88">
        <f>USD!Q67</f>
        <v>85</v>
      </c>
      <c r="R66" s="176">
        <f>USD!R67</f>
        <v>0.9</v>
      </c>
      <c r="S66" s="176">
        <f>USD!S67</f>
        <v>0.85</v>
      </c>
      <c r="T66" s="176">
        <f>USD!T67</f>
        <v>0.7</v>
      </c>
      <c r="U66" s="176">
        <f>USD!U67</f>
        <v>0.85</v>
      </c>
      <c r="V66" s="176">
        <f>USD!V67</f>
        <v>0.7</v>
      </c>
      <c r="W66" s="176">
        <f>USD!W67</f>
        <v>0.9</v>
      </c>
      <c r="X66" s="176">
        <f>USD!X67</f>
        <v>0.95</v>
      </c>
      <c r="Y66" s="176">
        <f>USD!Y67</f>
        <v>1</v>
      </c>
      <c r="Z66" s="176">
        <f>USD!Z67</f>
        <v>0.9</v>
      </c>
      <c r="AA66" s="176">
        <f>USD!AA67</f>
        <v>0.85</v>
      </c>
    </row>
    <row r="67" spans="15:27" ht="12.75">
      <c r="O67" s="87" t="str">
        <f>USD!O68</f>
        <v>Пермский край (не включая г. Пермь)</v>
      </c>
      <c r="P67" s="88">
        <f>USD!P68</f>
        <v>100</v>
      </c>
      <c r="Q67" s="88">
        <f>USD!Q68</f>
        <v>85</v>
      </c>
      <c r="R67" s="176">
        <f>USD!R68</f>
        <v>0.85</v>
      </c>
      <c r="S67" s="176">
        <f>USD!S68</f>
        <v>0.85</v>
      </c>
      <c r="T67" s="176">
        <f>USD!T68</f>
        <v>0.7</v>
      </c>
      <c r="U67" s="176">
        <f>USD!U68</f>
        <v>0.85</v>
      </c>
      <c r="V67" s="176">
        <f>USD!V68</f>
        <v>0.7</v>
      </c>
      <c r="W67" s="176">
        <f>USD!W68</f>
        <v>0.85</v>
      </c>
      <c r="X67" s="176">
        <f>USD!X68</f>
        <v>0.95</v>
      </c>
      <c r="Y67" s="176">
        <f>USD!Y68</f>
        <v>1</v>
      </c>
      <c r="Z67" s="176">
        <f>USD!Z68</f>
        <v>0.9</v>
      </c>
      <c r="AA67" s="176">
        <f>USD!AA68</f>
        <v>0.85</v>
      </c>
    </row>
    <row r="68" spans="15:27" ht="12.75">
      <c r="O68" s="87" t="str">
        <f>USD!O69</f>
        <v>г. Пермь</v>
      </c>
      <c r="P68" s="88">
        <f>USD!P69</f>
        <v>100</v>
      </c>
      <c r="Q68" s="88">
        <f>USD!Q69</f>
        <v>85</v>
      </c>
      <c r="R68" s="176">
        <f>USD!R69</f>
        <v>0.9</v>
      </c>
      <c r="S68" s="176">
        <f>USD!S69</f>
        <v>0.85</v>
      </c>
      <c r="T68" s="176">
        <f>USD!T69</f>
        <v>0.7</v>
      </c>
      <c r="U68" s="176">
        <f>USD!U69</f>
        <v>0.85</v>
      </c>
      <c r="V68" s="176">
        <f>USD!V69</f>
        <v>0.7</v>
      </c>
      <c r="W68" s="176">
        <f>USD!W69</f>
        <v>0.9</v>
      </c>
      <c r="X68" s="176">
        <f>USD!X69</f>
        <v>0.95</v>
      </c>
      <c r="Y68" s="176">
        <f>USD!Y69</f>
        <v>1</v>
      </c>
      <c r="Z68" s="176">
        <f>USD!Z69</f>
        <v>0.9</v>
      </c>
      <c r="AA68" s="176">
        <f>USD!AA69</f>
        <v>0.85</v>
      </c>
    </row>
    <row r="69" spans="15:27" ht="12.75">
      <c r="O69" s="87" t="str">
        <f>USD!O70</f>
        <v>Приморский край (включая г. Владивосток)</v>
      </c>
      <c r="P69" s="88">
        <f>USD!P70</f>
        <v>120</v>
      </c>
      <c r="Q69" s="88">
        <f>USD!Q70</f>
        <v>100</v>
      </c>
      <c r="R69" s="176">
        <f>USD!R70</f>
        <v>0.85</v>
      </c>
      <c r="S69" s="176">
        <f>USD!S70</f>
        <v>0.85</v>
      </c>
      <c r="T69" s="176">
        <f>USD!T70</f>
        <v>0.7</v>
      </c>
      <c r="U69" s="176">
        <f>USD!U70</f>
        <v>0.85</v>
      </c>
      <c r="V69" s="176">
        <f>USD!V70</f>
        <v>0.7</v>
      </c>
      <c r="W69" s="176">
        <f>USD!W70</f>
        <v>0.85</v>
      </c>
      <c r="X69" s="176">
        <f>USD!X70</f>
        <v>0.95</v>
      </c>
      <c r="Y69" s="176">
        <f>USD!Y70</f>
        <v>1</v>
      </c>
      <c r="Z69" s="176">
        <f>USD!Z70</f>
        <v>0.9</v>
      </c>
      <c r="AA69" s="176">
        <f>USD!AA70</f>
        <v>0.85</v>
      </c>
    </row>
    <row r="70" spans="15:27" ht="12.75">
      <c r="O70" s="87" t="str">
        <f>USD!O71</f>
        <v>Республика Коми (не включая г. Сыктывкар)</v>
      </c>
      <c r="P70" s="88">
        <f>USD!P71</f>
        <v>100</v>
      </c>
      <c r="Q70" s="88">
        <f>USD!Q71</f>
        <v>85</v>
      </c>
      <c r="R70" s="176">
        <f>USD!R71</f>
        <v>0.85</v>
      </c>
      <c r="S70" s="176">
        <f>USD!S71</f>
        <v>0.85</v>
      </c>
      <c r="T70" s="176">
        <f>USD!T71</f>
        <v>0.7</v>
      </c>
      <c r="U70" s="176">
        <f>USD!U71</f>
        <v>0.85</v>
      </c>
      <c r="V70" s="176">
        <f>USD!V71</f>
        <v>0.7</v>
      </c>
      <c r="W70" s="176">
        <f>USD!W71</f>
        <v>0.85</v>
      </c>
      <c r="X70" s="176">
        <f>USD!X71</f>
        <v>0.95</v>
      </c>
      <c r="Y70" s="176">
        <f>USD!Y71</f>
        <v>1</v>
      </c>
      <c r="Z70" s="176">
        <f>USD!Z71</f>
        <v>0.9</v>
      </c>
      <c r="AA70" s="176">
        <f>USD!AA71</f>
        <v>0.85</v>
      </c>
    </row>
    <row r="71" spans="15:27" ht="12.75">
      <c r="O71" s="87" t="str">
        <f>USD!O72</f>
        <v>г. Сыктывкар</v>
      </c>
      <c r="P71" s="88">
        <f>USD!P72</f>
        <v>100</v>
      </c>
      <c r="Q71" s="88">
        <f>USD!Q72</f>
        <v>85</v>
      </c>
      <c r="R71" s="176">
        <f>USD!R72</f>
        <v>0.9</v>
      </c>
      <c r="S71" s="176">
        <f>USD!S72</f>
        <v>0.85</v>
      </c>
      <c r="T71" s="176">
        <f>USD!T72</f>
        <v>0.7</v>
      </c>
      <c r="U71" s="176">
        <f>USD!U72</f>
        <v>0.85</v>
      </c>
      <c r="V71" s="176">
        <f>USD!V72</f>
        <v>0.7</v>
      </c>
      <c r="W71" s="176">
        <f>USD!W72</f>
        <v>0.9</v>
      </c>
      <c r="X71" s="176">
        <f>USD!X72</f>
        <v>0.95</v>
      </c>
      <c r="Y71" s="176">
        <f>USD!Y72</f>
        <v>1</v>
      </c>
      <c r="Z71" s="176">
        <f>USD!Z72</f>
        <v>0.9</v>
      </c>
      <c r="AA71" s="176">
        <f>USD!AA72</f>
        <v>0.85</v>
      </c>
    </row>
    <row r="72" spans="15:27" ht="12.75">
      <c r="O72" s="87" t="str">
        <f>USD!O73</f>
        <v>Республика Марий Эл (не включая г. Йошкар-Олу)</v>
      </c>
      <c r="P72" s="88">
        <f>USD!P73</f>
        <v>100</v>
      </c>
      <c r="Q72" s="88">
        <f>USD!Q73</f>
        <v>85</v>
      </c>
      <c r="R72" s="176">
        <f>USD!R73</f>
        <v>0.85</v>
      </c>
      <c r="S72" s="176">
        <f>USD!S73</f>
        <v>0.85</v>
      </c>
      <c r="T72" s="176">
        <f>USD!T73</f>
        <v>0.7</v>
      </c>
      <c r="U72" s="176">
        <f>USD!U73</f>
        <v>0.85</v>
      </c>
      <c r="V72" s="176">
        <f>USD!V73</f>
        <v>0.7</v>
      </c>
      <c r="W72" s="176">
        <f>USD!W73</f>
        <v>0.85</v>
      </c>
      <c r="X72" s="176">
        <f>USD!X73</f>
        <v>0.95</v>
      </c>
      <c r="Y72" s="176">
        <f>USD!Y73</f>
        <v>1</v>
      </c>
      <c r="Z72" s="176">
        <f>USD!Z73</f>
        <v>0.9</v>
      </c>
      <c r="AA72" s="176">
        <f>USD!AA73</f>
        <v>0.85</v>
      </c>
    </row>
    <row r="73" spans="15:27" ht="12.75">
      <c r="O73" s="87" t="str">
        <f>USD!O74</f>
        <v>г. Йошкар-Ола</v>
      </c>
      <c r="P73" s="88">
        <f>USD!P74</f>
        <v>100</v>
      </c>
      <c r="Q73" s="88">
        <f>USD!Q74</f>
        <v>85</v>
      </c>
      <c r="R73" s="176">
        <f>USD!R74</f>
        <v>0.9</v>
      </c>
      <c r="S73" s="176">
        <f>USD!S74</f>
        <v>0.85</v>
      </c>
      <c r="T73" s="176">
        <f>USD!T74</f>
        <v>0.7</v>
      </c>
      <c r="U73" s="176">
        <f>USD!U74</f>
        <v>0.85</v>
      </c>
      <c r="V73" s="176">
        <f>USD!V74</f>
        <v>0.7</v>
      </c>
      <c r="W73" s="176">
        <f>USD!W74</f>
        <v>0.9</v>
      </c>
      <c r="X73" s="176">
        <f>USD!X74</f>
        <v>0.95</v>
      </c>
      <c r="Y73" s="176">
        <f>USD!Y74</f>
        <v>1</v>
      </c>
      <c r="Z73" s="176">
        <f>USD!Z74</f>
        <v>0.9</v>
      </c>
      <c r="AA73" s="176">
        <f>USD!AA74</f>
        <v>0.85</v>
      </c>
    </row>
    <row r="74" spans="15:27" ht="12.75">
      <c r="O74" s="87" t="str">
        <f>USD!O75</f>
        <v>Республика Саха (Якутия) (не включая г. Якутск)</v>
      </c>
      <c r="P74" s="88">
        <f>USD!P75</f>
        <v>120</v>
      </c>
      <c r="Q74" s="88">
        <f>USD!Q75</f>
        <v>100</v>
      </c>
      <c r="R74" s="176">
        <f>USD!R75</f>
        <v>0.85</v>
      </c>
      <c r="S74" s="176">
        <f>USD!S75</f>
        <v>0.85</v>
      </c>
      <c r="T74" s="176">
        <f>USD!T75</f>
        <v>0.7</v>
      </c>
      <c r="U74" s="176">
        <f>USD!U75</f>
        <v>0.85</v>
      </c>
      <c r="V74" s="176">
        <f>USD!V75</f>
        <v>0.7</v>
      </c>
      <c r="W74" s="176">
        <f>USD!W75</f>
        <v>0.85</v>
      </c>
      <c r="X74" s="176">
        <f>USD!X75</f>
        <v>0.95</v>
      </c>
      <c r="Y74" s="176">
        <f>USD!Y75</f>
        <v>1</v>
      </c>
      <c r="Z74" s="176">
        <f>USD!Z75</f>
        <v>0.9</v>
      </c>
      <c r="AA74" s="176">
        <f>USD!AA75</f>
        <v>0.85</v>
      </c>
    </row>
    <row r="75" spans="15:27" ht="12.75">
      <c r="O75" s="87" t="str">
        <f>USD!O76</f>
        <v>г. Якутск</v>
      </c>
      <c r="P75" s="88">
        <f>USD!P76</f>
        <v>120</v>
      </c>
      <c r="Q75" s="88">
        <f>USD!Q76</f>
        <v>100</v>
      </c>
      <c r="R75" s="176">
        <f>USD!R76</f>
        <v>0.9</v>
      </c>
      <c r="S75" s="176">
        <f>USD!S76</f>
        <v>0.85</v>
      </c>
      <c r="T75" s="176">
        <f>USD!T76</f>
        <v>0.7</v>
      </c>
      <c r="U75" s="176">
        <f>USD!U76</f>
        <v>0.85</v>
      </c>
      <c r="V75" s="176">
        <f>USD!V76</f>
        <v>0.7</v>
      </c>
      <c r="W75" s="176">
        <f>USD!W76</f>
        <v>0.9</v>
      </c>
      <c r="X75" s="176">
        <f>USD!X76</f>
        <v>0.95</v>
      </c>
      <c r="Y75" s="176">
        <f>USD!Y76</f>
        <v>1</v>
      </c>
      <c r="Z75" s="176">
        <f>USD!Z76</f>
        <v>0.9</v>
      </c>
      <c r="AA75" s="176">
        <f>USD!AA76</f>
        <v>0.85</v>
      </c>
    </row>
    <row r="76" spans="15:27" ht="12.75">
      <c r="O76" s="87" t="str">
        <f>USD!O77</f>
        <v>Республика Татарстан (не включая г. Казань)</v>
      </c>
      <c r="P76" s="88">
        <f>USD!P77</f>
        <v>100</v>
      </c>
      <c r="Q76" s="88">
        <f>USD!Q77</f>
        <v>85</v>
      </c>
      <c r="R76" s="176">
        <f>USD!R77</f>
        <v>0.85</v>
      </c>
      <c r="S76" s="176">
        <f>USD!S77</f>
        <v>0.85</v>
      </c>
      <c r="T76" s="176">
        <f>USD!T77</f>
        <v>0.7</v>
      </c>
      <c r="U76" s="176">
        <f>USD!U77</f>
        <v>0.85</v>
      </c>
      <c r="V76" s="176">
        <f>USD!V77</f>
        <v>0.7</v>
      </c>
      <c r="W76" s="176">
        <f>USD!W77</f>
        <v>0.85</v>
      </c>
      <c r="X76" s="176">
        <f>USD!X77</f>
        <v>0.95</v>
      </c>
      <c r="Y76" s="176">
        <f>USD!Y77</f>
        <v>1</v>
      </c>
      <c r="Z76" s="176">
        <f>USD!Z77</f>
        <v>0.9</v>
      </c>
      <c r="AA76" s="176">
        <f>USD!AA77</f>
        <v>0.85</v>
      </c>
    </row>
    <row r="77" spans="15:27" ht="12.75">
      <c r="O77" s="87" t="str">
        <f>USD!O78</f>
        <v>г. Казань</v>
      </c>
      <c r="P77" s="88">
        <f>USD!P78</f>
        <v>100</v>
      </c>
      <c r="Q77" s="88">
        <f>USD!Q78</f>
        <v>85</v>
      </c>
      <c r="R77" s="176">
        <f>USD!R78</f>
        <v>1</v>
      </c>
      <c r="S77" s="176">
        <f>USD!S78</f>
        <v>0.95</v>
      </c>
      <c r="T77" s="176">
        <f>USD!T78</f>
        <v>0.9</v>
      </c>
      <c r="U77" s="176">
        <f>USD!U78</f>
        <v>0.95</v>
      </c>
      <c r="V77" s="176">
        <f>USD!V78</f>
        <v>0.95</v>
      </c>
      <c r="W77" s="176">
        <f>USD!W78</f>
        <v>1</v>
      </c>
      <c r="X77" s="176">
        <f>USD!X78</f>
        <v>0.95</v>
      </c>
      <c r="Y77" s="176">
        <f>USD!Y78</f>
        <v>1</v>
      </c>
      <c r="Z77" s="176">
        <f>USD!Z78</f>
        <v>0.9</v>
      </c>
      <c r="AA77" s="176">
        <f>USD!AA78</f>
        <v>0.85</v>
      </c>
    </row>
    <row r="78" spans="15:27" ht="12.75">
      <c r="O78" s="87" t="str">
        <f>USD!O79</f>
        <v>Ростовская область (не включая г. Ростов-на-Дону)</v>
      </c>
      <c r="P78" s="88">
        <f>USD!P79</f>
        <v>100</v>
      </c>
      <c r="Q78" s="88">
        <f>USD!Q79</f>
        <v>85</v>
      </c>
      <c r="R78" s="176">
        <f>USD!R79</f>
        <v>0.85</v>
      </c>
      <c r="S78" s="176">
        <f>USD!S79</f>
        <v>0.85</v>
      </c>
      <c r="T78" s="176">
        <f>USD!T79</f>
        <v>0.7</v>
      </c>
      <c r="U78" s="176">
        <f>USD!U79</f>
        <v>0.85</v>
      </c>
      <c r="V78" s="176">
        <f>USD!V79</f>
        <v>0.7</v>
      </c>
      <c r="W78" s="176">
        <f>USD!W79</f>
        <v>0.85</v>
      </c>
      <c r="X78" s="176">
        <f>USD!X79</f>
        <v>0.95</v>
      </c>
      <c r="Y78" s="176">
        <f>USD!Y79</f>
        <v>1</v>
      </c>
      <c r="Z78" s="176">
        <f>USD!Z79</f>
        <v>0.9</v>
      </c>
      <c r="AA78" s="176">
        <f>USD!AA79</f>
        <v>0.85</v>
      </c>
    </row>
    <row r="79" spans="15:27" ht="12.75">
      <c r="O79" s="87" t="str">
        <f>USD!O80</f>
        <v>г. Ростов-на-Дону</v>
      </c>
      <c r="P79" s="88">
        <f>USD!P80</f>
        <v>100</v>
      </c>
      <c r="Q79" s="88">
        <f>USD!Q80</f>
        <v>85</v>
      </c>
      <c r="R79" s="176">
        <f>USD!R80</f>
        <v>0.95</v>
      </c>
      <c r="S79" s="176">
        <f>USD!S80</f>
        <v>0.95</v>
      </c>
      <c r="T79" s="176">
        <f>USD!T80</f>
        <v>0.9</v>
      </c>
      <c r="U79" s="176">
        <f>USD!U80</f>
        <v>0.95</v>
      </c>
      <c r="V79" s="176">
        <f>USD!V80</f>
        <v>0.95</v>
      </c>
      <c r="W79" s="176">
        <f>USD!W80</f>
        <v>0.95</v>
      </c>
      <c r="X79" s="176">
        <f>USD!X80</f>
        <v>0.95</v>
      </c>
      <c r="Y79" s="176">
        <f>USD!Y80</f>
        <v>1</v>
      </c>
      <c r="Z79" s="176">
        <f>USD!Z80</f>
        <v>0.9</v>
      </c>
      <c r="AA79" s="176">
        <f>USD!AA80</f>
        <v>0.85</v>
      </c>
    </row>
    <row r="80" spans="15:27" ht="12.75">
      <c r="O80" s="87" t="str">
        <f>USD!O81</f>
        <v>Самарская область (не включая г. Самара и г. Тольятти)</v>
      </c>
      <c r="P80" s="88">
        <f>USD!P81</f>
        <v>100</v>
      </c>
      <c r="Q80" s="88">
        <f>USD!Q81</f>
        <v>85</v>
      </c>
      <c r="R80" s="176">
        <f>USD!R81</f>
        <v>0.85</v>
      </c>
      <c r="S80" s="176">
        <f>USD!S81</f>
        <v>0.85</v>
      </c>
      <c r="T80" s="176">
        <f>USD!T81</f>
        <v>0.7</v>
      </c>
      <c r="U80" s="176">
        <f>USD!U81</f>
        <v>0.85</v>
      </c>
      <c r="V80" s="176">
        <f>USD!V81</f>
        <v>0.7</v>
      </c>
      <c r="W80" s="176">
        <f>USD!W81</f>
        <v>0.85</v>
      </c>
      <c r="X80" s="176">
        <f>USD!X81</f>
        <v>0.95</v>
      </c>
      <c r="Y80" s="176">
        <f>USD!Y81</f>
        <v>1</v>
      </c>
      <c r="Z80" s="176">
        <f>USD!Z81</f>
        <v>0.9</v>
      </c>
      <c r="AA80" s="176">
        <f>USD!AA81</f>
        <v>0.85</v>
      </c>
    </row>
    <row r="81" spans="15:27" ht="12.75">
      <c r="O81" s="87" t="str">
        <f>USD!O82</f>
        <v>г. Самара</v>
      </c>
      <c r="P81" s="88">
        <f>USD!P82</f>
        <v>100</v>
      </c>
      <c r="Q81" s="88">
        <f>USD!Q82</f>
        <v>85</v>
      </c>
      <c r="R81" s="176">
        <f>USD!R82</f>
        <v>1</v>
      </c>
      <c r="S81" s="176">
        <f>USD!S82</f>
        <v>0.95</v>
      </c>
      <c r="T81" s="176">
        <f>USD!T82</f>
        <v>0.9</v>
      </c>
      <c r="U81" s="176">
        <f>USD!U82</f>
        <v>0.95</v>
      </c>
      <c r="V81" s="176">
        <f>USD!V82</f>
        <v>0.95</v>
      </c>
      <c r="W81" s="176">
        <f>USD!W82</f>
        <v>1</v>
      </c>
      <c r="X81" s="176">
        <f>USD!X82</f>
        <v>0.95</v>
      </c>
      <c r="Y81" s="176">
        <f>USD!Y82</f>
        <v>1</v>
      </c>
      <c r="Z81" s="176">
        <f>USD!Z82</f>
        <v>0.9</v>
      </c>
      <c r="AA81" s="176">
        <f>USD!AA82</f>
        <v>0.85</v>
      </c>
    </row>
    <row r="82" spans="15:27" ht="12.75">
      <c r="O82" s="87" t="str">
        <f>USD!O83</f>
        <v>г. Тольятти</v>
      </c>
      <c r="P82" s="88">
        <f>USD!P83</f>
        <v>100</v>
      </c>
      <c r="Q82" s="88">
        <f>USD!Q83</f>
        <v>85</v>
      </c>
      <c r="R82" s="176">
        <f>USD!R83</f>
        <v>0.9</v>
      </c>
      <c r="S82" s="176">
        <f>USD!S83</f>
        <v>0.85</v>
      </c>
      <c r="T82" s="176">
        <f>USD!T83</f>
        <v>0.7</v>
      </c>
      <c r="U82" s="176">
        <f>USD!U83</f>
        <v>0.85</v>
      </c>
      <c r="V82" s="176">
        <f>USD!V83</f>
        <v>0.7</v>
      </c>
      <c r="W82" s="176">
        <f>USD!W83</f>
        <v>0.9</v>
      </c>
      <c r="X82" s="176">
        <f>USD!X83</f>
        <v>0.95</v>
      </c>
      <c r="Y82" s="176">
        <f>USD!Y83</f>
        <v>1</v>
      </c>
      <c r="Z82" s="176">
        <f>USD!Z83</f>
        <v>0.9</v>
      </c>
      <c r="AA82" s="176">
        <f>USD!AA83</f>
        <v>0.85</v>
      </c>
    </row>
    <row r="83" spans="15:27" ht="12.75">
      <c r="O83" s="87" t="str">
        <f>USD!O84</f>
        <v>Саратовская область (включая г. Саратов)</v>
      </c>
      <c r="P83" s="88">
        <f>USD!P84</f>
        <v>100</v>
      </c>
      <c r="Q83" s="88">
        <f>USD!Q84</f>
        <v>85</v>
      </c>
      <c r="R83" s="176">
        <f>USD!R84</f>
        <v>0.85</v>
      </c>
      <c r="S83" s="176">
        <f>USD!S84</f>
        <v>0.85</v>
      </c>
      <c r="T83" s="176">
        <f>USD!T84</f>
        <v>0.7</v>
      </c>
      <c r="U83" s="176">
        <f>USD!U84</f>
        <v>0.85</v>
      </c>
      <c r="V83" s="176">
        <f>USD!V84</f>
        <v>0.7</v>
      </c>
      <c r="W83" s="176">
        <f>USD!W84</f>
        <v>0.85</v>
      </c>
      <c r="X83" s="176">
        <f>USD!X84</f>
        <v>0.95</v>
      </c>
      <c r="Y83" s="176">
        <f>USD!Y84</f>
        <v>1</v>
      </c>
      <c r="Z83" s="176">
        <f>USD!Z84</f>
        <v>0.9</v>
      </c>
      <c r="AA83" s="176">
        <f>USD!AA84</f>
        <v>0.85</v>
      </c>
    </row>
    <row r="84" spans="15:27" ht="12.75">
      <c r="O84" s="87" t="str">
        <f>USD!O85</f>
        <v>Свердловская область (не включая г. Екатеринбург)</v>
      </c>
      <c r="P84" s="88">
        <f>USD!P85</f>
        <v>100</v>
      </c>
      <c r="Q84" s="88">
        <f>USD!Q85</f>
        <v>85</v>
      </c>
      <c r="R84" s="176">
        <f>USD!R85</f>
        <v>0.85</v>
      </c>
      <c r="S84" s="176">
        <f>USD!S85</f>
        <v>0.85</v>
      </c>
      <c r="T84" s="176">
        <f>USD!T85</f>
        <v>0.7</v>
      </c>
      <c r="U84" s="176">
        <f>USD!U85</f>
        <v>0.85</v>
      </c>
      <c r="V84" s="176">
        <f>USD!V85</f>
        <v>0.7</v>
      </c>
      <c r="W84" s="176">
        <f>USD!W85</f>
        <v>0.85</v>
      </c>
      <c r="X84" s="176">
        <f>USD!X85</f>
        <v>0.95</v>
      </c>
      <c r="Y84" s="176">
        <f>USD!Y85</f>
        <v>1</v>
      </c>
      <c r="Z84" s="176">
        <f>USD!Z85</f>
        <v>0.9</v>
      </c>
      <c r="AA84" s="176">
        <f>USD!AA85</f>
        <v>0.85</v>
      </c>
    </row>
    <row r="85" spans="15:27" ht="12.75">
      <c r="O85" s="87" t="str">
        <f>USD!O86</f>
        <v>г. Екатеринбург</v>
      </c>
      <c r="P85" s="88">
        <f>USD!P86</f>
        <v>100</v>
      </c>
      <c r="Q85" s="88">
        <f>USD!Q86</f>
        <v>85</v>
      </c>
      <c r="R85" s="176">
        <f>USD!R86</f>
        <v>1</v>
      </c>
      <c r="S85" s="176">
        <f>USD!S86</f>
        <v>0.95</v>
      </c>
      <c r="T85" s="176">
        <f>USD!T86</f>
        <v>0.9</v>
      </c>
      <c r="U85" s="176">
        <f>USD!U86</f>
        <v>0.95</v>
      </c>
      <c r="V85" s="176">
        <f>USD!V86</f>
        <v>0.95</v>
      </c>
      <c r="W85" s="176">
        <f>USD!W86</f>
        <v>1</v>
      </c>
      <c r="X85" s="176">
        <f>USD!X86</f>
        <v>0.95</v>
      </c>
      <c r="Y85" s="176">
        <f>USD!Y86</f>
        <v>1</v>
      </c>
      <c r="Z85" s="176">
        <f>USD!Z86</f>
        <v>0.9</v>
      </c>
      <c r="AA85" s="176">
        <f>USD!AA86</f>
        <v>0.85</v>
      </c>
    </row>
    <row r="86" spans="15:27" ht="12.75">
      <c r="O86" s="87" t="str">
        <f>USD!O87</f>
        <v>Смоленская область (не включая г. Смоленск)</v>
      </c>
      <c r="P86" s="88">
        <f>USD!P87</f>
        <v>100</v>
      </c>
      <c r="Q86" s="88">
        <f>USD!Q87</f>
        <v>85</v>
      </c>
      <c r="R86" s="176">
        <f>USD!R87</f>
        <v>0.85</v>
      </c>
      <c r="S86" s="176">
        <f>USD!S87</f>
        <v>0.85</v>
      </c>
      <c r="T86" s="176">
        <f>USD!T87</f>
        <v>0.7</v>
      </c>
      <c r="U86" s="176">
        <f>USD!U87</f>
        <v>0.85</v>
      </c>
      <c r="V86" s="176">
        <f>USD!V87</f>
        <v>0.7</v>
      </c>
      <c r="W86" s="176">
        <f>USD!W87</f>
        <v>0.85</v>
      </c>
      <c r="X86" s="176">
        <f>USD!X87</f>
        <v>0.95</v>
      </c>
      <c r="Y86" s="176">
        <f>USD!Y87</f>
        <v>1</v>
      </c>
      <c r="Z86" s="176">
        <f>USD!Z87</f>
        <v>0.9</v>
      </c>
      <c r="AA86" s="176">
        <f>USD!AA87</f>
        <v>0.85</v>
      </c>
    </row>
    <row r="87" spans="15:27" ht="12.75">
      <c r="O87" s="87" t="str">
        <f>USD!O88</f>
        <v>г. Смоленск</v>
      </c>
      <c r="P87" s="88">
        <f>USD!P88</f>
        <v>100</v>
      </c>
      <c r="Q87" s="88">
        <f>USD!Q88</f>
        <v>85</v>
      </c>
      <c r="R87" s="176">
        <f>USD!R88</f>
        <v>0.9</v>
      </c>
      <c r="S87" s="176">
        <f>USD!S88</f>
        <v>0.85</v>
      </c>
      <c r="T87" s="176">
        <f>USD!T88</f>
        <v>0.7</v>
      </c>
      <c r="U87" s="176">
        <f>USD!U88</f>
        <v>0.85</v>
      </c>
      <c r="V87" s="176">
        <f>USD!V88</f>
        <v>0.7</v>
      </c>
      <c r="W87" s="176">
        <f>USD!W88</f>
        <v>0.9</v>
      </c>
      <c r="X87" s="176">
        <f>USD!X88</f>
        <v>0.95</v>
      </c>
      <c r="Y87" s="176">
        <f>USD!Y88</f>
        <v>1</v>
      </c>
      <c r="Z87" s="176">
        <f>USD!Z88</f>
        <v>0.9</v>
      </c>
      <c r="AA87" s="176">
        <f>USD!AA88</f>
        <v>0.85</v>
      </c>
    </row>
    <row r="88" spans="15:27" ht="12.75">
      <c r="O88" s="87" t="str">
        <f>USD!O89</f>
        <v>Тульская область (не включая г. Тула и г. Новомосковск)</v>
      </c>
      <c r="P88" s="88">
        <f>USD!P89</f>
        <v>100</v>
      </c>
      <c r="Q88" s="88">
        <f>USD!Q89</f>
        <v>85</v>
      </c>
      <c r="R88" s="176">
        <f>USD!R89</f>
        <v>0.85</v>
      </c>
      <c r="S88" s="176">
        <f>USD!S89</f>
        <v>0.85</v>
      </c>
      <c r="T88" s="176">
        <f>USD!T89</f>
        <v>0.7</v>
      </c>
      <c r="U88" s="176">
        <f>USD!U89</f>
        <v>0.85</v>
      </c>
      <c r="V88" s="176">
        <f>USD!V89</f>
        <v>0.7</v>
      </c>
      <c r="W88" s="176">
        <f>USD!W89</f>
        <v>0.85</v>
      </c>
      <c r="X88" s="176">
        <f>USD!X89</f>
        <v>0.95</v>
      </c>
      <c r="Y88" s="176">
        <f>USD!Y89</f>
        <v>1</v>
      </c>
      <c r="Z88" s="176">
        <f>USD!Z89</f>
        <v>0.9</v>
      </c>
      <c r="AA88" s="176">
        <f>USD!AA89</f>
        <v>0.85</v>
      </c>
    </row>
    <row r="89" spans="15:27" ht="12.75">
      <c r="O89" s="87" t="str">
        <f>USD!O90</f>
        <v>г. Тула</v>
      </c>
      <c r="P89" s="88">
        <f>USD!P90</f>
        <v>100</v>
      </c>
      <c r="Q89" s="88">
        <f>USD!Q90</f>
        <v>85</v>
      </c>
      <c r="R89" s="176">
        <f>USD!R90</f>
        <v>0.9</v>
      </c>
      <c r="S89" s="176">
        <f>USD!S90</f>
        <v>0.85</v>
      </c>
      <c r="T89" s="176">
        <f>USD!T90</f>
        <v>0.7</v>
      </c>
      <c r="U89" s="176">
        <f>USD!U90</f>
        <v>0.85</v>
      </c>
      <c r="V89" s="176">
        <f>USD!V90</f>
        <v>0.7</v>
      </c>
      <c r="W89" s="176">
        <f>USD!W90</f>
        <v>0.9</v>
      </c>
      <c r="X89" s="176">
        <f>USD!X90</f>
        <v>0.95</v>
      </c>
      <c r="Y89" s="176">
        <f>USD!Y90</f>
        <v>1</v>
      </c>
      <c r="Z89" s="176">
        <f>USD!Z90</f>
        <v>0.9</v>
      </c>
      <c r="AA89" s="176">
        <f>USD!AA90</f>
        <v>0.85</v>
      </c>
    </row>
    <row r="90" spans="15:27" ht="12.75">
      <c r="O90" s="87" t="str">
        <f>USD!O91</f>
        <v>г. Новомосковск</v>
      </c>
      <c r="P90" s="88">
        <f>USD!P91</f>
        <v>100</v>
      </c>
      <c r="Q90" s="88">
        <f>USD!Q91</f>
        <v>85</v>
      </c>
      <c r="R90" s="176">
        <f>USD!R91</f>
        <v>0.9</v>
      </c>
      <c r="S90" s="176">
        <f>USD!S91</f>
        <v>0.85</v>
      </c>
      <c r="T90" s="176">
        <f>USD!T91</f>
        <v>0.7</v>
      </c>
      <c r="U90" s="176">
        <f>USD!U91</f>
        <v>0.85</v>
      </c>
      <c r="V90" s="176">
        <f>USD!V91</f>
        <v>0.7</v>
      </c>
      <c r="W90" s="176">
        <f>USD!W91</f>
        <v>0.9</v>
      </c>
      <c r="X90" s="176">
        <f>USD!X91</f>
        <v>0.95</v>
      </c>
      <c r="Y90" s="176">
        <f>USD!Y91</f>
        <v>1</v>
      </c>
      <c r="Z90" s="176">
        <f>USD!Z91</f>
        <v>0.9</v>
      </c>
      <c r="AA90" s="176">
        <f>USD!AA91</f>
        <v>0.85</v>
      </c>
    </row>
    <row r="91" spans="15:27" ht="12.75">
      <c r="O91" s="87" t="str">
        <f>USD!O92</f>
        <v>Тверская область (включая г. Тверь)</v>
      </c>
      <c r="P91" s="88">
        <f>USD!P92</f>
        <v>100</v>
      </c>
      <c r="Q91" s="88">
        <f>USD!Q92</f>
        <v>85</v>
      </c>
      <c r="R91" s="176">
        <f>USD!R92</f>
        <v>0.85</v>
      </c>
      <c r="S91" s="176">
        <f>USD!S92</f>
        <v>0.85</v>
      </c>
      <c r="T91" s="176">
        <f>USD!T92</f>
        <v>0.7</v>
      </c>
      <c r="U91" s="176">
        <f>USD!U92</f>
        <v>0.85</v>
      </c>
      <c r="V91" s="176">
        <f>USD!V92</f>
        <v>0.7</v>
      </c>
      <c r="W91" s="176">
        <f>USD!W92</f>
        <v>0.85</v>
      </c>
      <c r="X91" s="176">
        <f>USD!X92</f>
        <v>0.95</v>
      </c>
      <c r="Y91" s="176">
        <f>USD!Y92</f>
        <v>1</v>
      </c>
      <c r="Z91" s="176">
        <f>USD!Z92</f>
        <v>0.9</v>
      </c>
      <c r="AA91" s="176">
        <f>USD!AA92</f>
        <v>0.85</v>
      </c>
    </row>
    <row r="92" spans="15:27" ht="12.75">
      <c r="O92" s="87" t="str">
        <f>USD!O93</f>
        <v>Томская область (не включая г. Томск)</v>
      </c>
      <c r="P92" s="88">
        <f>USD!P93</f>
        <v>100</v>
      </c>
      <c r="Q92" s="88">
        <f>USD!Q93</f>
        <v>85</v>
      </c>
      <c r="R92" s="176">
        <f>USD!R93</f>
        <v>0.85</v>
      </c>
      <c r="S92" s="176">
        <f>USD!S93</f>
        <v>0.85</v>
      </c>
      <c r="T92" s="176">
        <f>USD!T93</f>
        <v>0.7</v>
      </c>
      <c r="U92" s="176">
        <f>USD!U93</f>
        <v>0.85</v>
      </c>
      <c r="V92" s="176">
        <f>USD!V93</f>
        <v>0.7</v>
      </c>
      <c r="W92" s="176">
        <f>USD!W93</f>
        <v>0.85</v>
      </c>
      <c r="X92" s="176">
        <f>USD!X93</f>
        <v>0.95</v>
      </c>
      <c r="Y92" s="176">
        <f>USD!Y93</f>
        <v>1</v>
      </c>
      <c r="Z92" s="176">
        <f>USD!Z93</f>
        <v>0.9</v>
      </c>
      <c r="AA92" s="176">
        <f>USD!AA93</f>
        <v>0.85</v>
      </c>
    </row>
    <row r="93" spans="15:27" ht="12.75">
      <c r="O93" s="87" t="str">
        <f>USD!O94</f>
        <v>г. Томск</v>
      </c>
      <c r="P93" s="88">
        <f>USD!P94</f>
        <v>100</v>
      </c>
      <c r="Q93" s="88">
        <f>USD!Q94</f>
        <v>85</v>
      </c>
      <c r="R93" s="176">
        <f>USD!R94</f>
        <v>0.9</v>
      </c>
      <c r="S93" s="176">
        <f>USD!S94</f>
        <v>0.85</v>
      </c>
      <c r="T93" s="176">
        <f>USD!T94</f>
        <v>0.7</v>
      </c>
      <c r="U93" s="176">
        <f>USD!U94</f>
        <v>0.85</v>
      </c>
      <c r="V93" s="176">
        <f>USD!V94</f>
        <v>0.7</v>
      </c>
      <c r="W93" s="176">
        <f>USD!W94</f>
        <v>0.9</v>
      </c>
      <c r="X93" s="176">
        <f>USD!X94</f>
        <v>0.95</v>
      </c>
      <c r="Y93" s="176">
        <f>USD!Y94</f>
        <v>1</v>
      </c>
      <c r="Z93" s="176">
        <f>USD!Z94</f>
        <v>0.9</v>
      </c>
      <c r="AA93" s="176">
        <f>USD!AA94</f>
        <v>0.85</v>
      </c>
    </row>
    <row r="94" spans="15:27" ht="12.75">
      <c r="O94" s="87" t="str">
        <f>USD!O95</f>
        <v>Тюменская область (не включая г. Тюмень)</v>
      </c>
      <c r="P94" s="88">
        <f>USD!P95</f>
        <v>100</v>
      </c>
      <c r="Q94" s="88">
        <f>USD!Q95</f>
        <v>85</v>
      </c>
      <c r="R94" s="176">
        <f>USD!R95</f>
        <v>0.85</v>
      </c>
      <c r="S94" s="176">
        <f>USD!S95</f>
        <v>0.85</v>
      </c>
      <c r="T94" s="176">
        <f>USD!T95</f>
        <v>0.7</v>
      </c>
      <c r="U94" s="176">
        <f>USD!U95</f>
        <v>0.85</v>
      </c>
      <c r="V94" s="176">
        <f>USD!V95</f>
        <v>0.7</v>
      </c>
      <c r="W94" s="176">
        <f>USD!W95</f>
        <v>0.85</v>
      </c>
      <c r="X94" s="176">
        <f>USD!X95</f>
        <v>0.95</v>
      </c>
      <c r="Y94" s="176">
        <f>USD!Y95</f>
        <v>1</v>
      </c>
      <c r="Z94" s="176">
        <f>USD!Z95</f>
        <v>0.9</v>
      </c>
      <c r="AA94" s="176">
        <f>USD!AA95</f>
        <v>0.85</v>
      </c>
    </row>
    <row r="95" spans="15:27" ht="12.75">
      <c r="O95" s="87" t="str">
        <f>USD!O96</f>
        <v>г. Тюмень</v>
      </c>
      <c r="P95" s="88">
        <f>USD!P96</f>
        <v>100</v>
      </c>
      <c r="Q95" s="88">
        <f>USD!Q96</f>
        <v>85</v>
      </c>
      <c r="R95" s="176">
        <f>USD!R96</f>
        <v>0.95</v>
      </c>
      <c r="S95" s="176">
        <f>USD!S96</f>
        <v>0.95</v>
      </c>
      <c r="T95" s="176">
        <f>USD!T96</f>
        <v>0.9</v>
      </c>
      <c r="U95" s="176">
        <f>USD!U96</f>
        <v>0.95</v>
      </c>
      <c r="V95" s="176">
        <f>USD!V96</f>
        <v>0.95</v>
      </c>
      <c r="W95" s="176">
        <f>USD!W96</f>
        <v>0.95</v>
      </c>
      <c r="X95" s="176">
        <f>USD!X96</f>
        <v>0.95</v>
      </c>
      <c r="Y95" s="176">
        <f>USD!Y96</f>
        <v>1</v>
      </c>
      <c r="Z95" s="176">
        <f>USD!Z96</f>
        <v>0.9</v>
      </c>
      <c r="AA95" s="176">
        <f>USD!AA96</f>
        <v>0.85</v>
      </c>
    </row>
    <row r="96" spans="15:27" ht="12.75">
      <c r="O96" s="87" t="str">
        <f>USD!O97</f>
        <v>Ульяновская область (не включая г. Ульяновск)</v>
      </c>
      <c r="P96" s="88">
        <f>USD!P97</f>
        <v>100</v>
      </c>
      <c r="Q96" s="88">
        <f>USD!Q97</f>
        <v>85</v>
      </c>
      <c r="R96" s="176">
        <f>USD!R97</f>
        <v>0.85</v>
      </c>
      <c r="S96" s="176">
        <f>USD!S97</f>
        <v>0.85</v>
      </c>
      <c r="T96" s="176">
        <f>USD!T97</f>
        <v>0.7</v>
      </c>
      <c r="U96" s="176">
        <f>USD!U97</f>
        <v>0.85</v>
      </c>
      <c r="V96" s="176">
        <f>USD!V97</f>
        <v>0.7</v>
      </c>
      <c r="W96" s="176">
        <f>USD!W97</f>
        <v>0.85</v>
      </c>
      <c r="X96" s="176">
        <f>USD!X97</f>
        <v>0.95</v>
      </c>
      <c r="Y96" s="176">
        <f>USD!Y97</f>
        <v>1</v>
      </c>
      <c r="Z96" s="176">
        <f>USD!Z97</f>
        <v>0.9</v>
      </c>
      <c r="AA96" s="176">
        <f>USD!AA97</f>
        <v>0.85</v>
      </c>
    </row>
    <row r="97" spans="15:27" ht="12.75">
      <c r="O97" s="87" t="str">
        <f>USD!O98</f>
        <v>г. Ульяновск</v>
      </c>
      <c r="P97" s="88">
        <f>USD!P98</f>
        <v>100</v>
      </c>
      <c r="Q97" s="88">
        <f>USD!Q98</f>
        <v>85</v>
      </c>
      <c r="R97" s="176">
        <f>USD!R98</f>
        <v>0.9</v>
      </c>
      <c r="S97" s="176">
        <f>USD!S98</f>
        <v>0.85</v>
      </c>
      <c r="T97" s="176">
        <f>USD!T98</f>
        <v>0.7</v>
      </c>
      <c r="U97" s="176">
        <f>USD!U98</f>
        <v>0.85</v>
      </c>
      <c r="V97" s="176">
        <f>USD!V98</f>
        <v>0.7</v>
      </c>
      <c r="W97" s="176">
        <f>USD!W98</f>
        <v>0.9</v>
      </c>
      <c r="X97" s="176">
        <f>USD!X98</f>
        <v>0.95</v>
      </c>
      <c r="Y97" s="176">
        <f>USD!Y98</f>
        <v>1</v>
      </c>
      <c r="Z97" s="176">
        <f>USD!Z98</f>
        <v>0.9</v>
      </c>
      <c r="AA97" s="176">
        <f>USD!AA98</f>
        <v>0.85</v>
      </c>
    </row>
    <row r="98" spans="15:27" ht="12.75">
      <c r="O98" s="87" t="str">
        <f>USD!O99</f>
        <v>Хабаровский край (не включая г. Хабаровск)</v>
      </c>
      <c r="P98" s="88">
        <f>USD!P99</f>
        <v>120</v>
      </c>
      <c r="Q98" s="88">
        <f>USD!Q99</f>
        <v>100</v>
      </c>
      <c r="R98" s="176">
        <f>USD!R99</f>
        <v>0.85</v>
      </c>
      <c r="S98" s="176">
        <f>USD!S99</f>
        <v>0.85</v>
      </c>
      <c r="T98" s="176">
        <f>USD!T99</f>
        <v>0.7</v>
      </c>
      <c r="U98" s="176">
        <f>USD!U99</f>
        <v>0.85</v>
      </c>
      <c r="V98" s="176">
        <f>USD!V99</f>
        <v>0.7</v>
      </c>
      <c r="W98" s="176">
        <f>USD!W99</f>
        <v>0.85</v>
      </c>
      <c r="X98" s="176">
        <f>USD!X99</f>
        <v>0.95</v>
      </c>
      <c r="Y98" s="176">
        <f>USD!Y99</f>
        <v>1</v>
      </c>
      <c r="Z98" s="176">
        <f>USD!Z99</f>
        <v>0.9</v>
      </c>
      <c r="AA98" s="176">
        <f>USD!AA99</f>
        <v>0.85</v>
      </c>
    </row>
    <row r="99" spans="15:27" ht="12.75">
      <c r="O99" s="87" t="str">
        <f>USD!O100</f>
        <v>г. Хабаровск</v>
      </c>
      <c r="P99" s="88">
        <f>USD!P100</f>
        <v>120</v>
      </c>
      <c r="Q99" s="88">
        <f>USD!Q100</f>
        <v>100</v>
      </c>
      <c r="R99" s="176">
        <f>USD!R100</f>
        <v>0.95</v>
      </c>
      <c r="S99" s="176">
        <f>USD!S100</f>
        <v>0.95</v>
      </c>
      <c r="T99" s="176">
        <f>USD!T100</f>
        <v>0.9</v>
      </c>
      <c r="U99" s="176">
        <f>USD!U100</f>
        <v>0.95</v>
      </c>
      <c r="V99" s="176">
        <f>USD!V100</f>
        <v>0.95</v>
      </c>
      <c r="W99" s="176">
        <f>USD!W100</f>
        <v>0.95</v>
      </c>
      <c r="X99" s="176">
        <f>USD!X100</f>
        <v>0.95</v>
      </c>
      <c r="Y99" s="176">
        <f>USD!Y100</f>
        <v>1</v>
      </c>
      <c r="Z99" s="176">
        <f>USD!Z100</f>
        <v>0.9</v>
      </c>
      <c r="AA99" s="176">
        <f>USD!AA100</f>
        <v>0.85</v>
      </c>
    </row>
    <row r="100" spans="15:27" ht="12.75">
      <c r="O100" s="87" t="str">
        <f>USD!O101</f>
        <v>Челябинская область (не включая г. Челябинск)</v>
      </c>
      <c r="P100" s="88">
        <f>USD!P101</f>
        <v>100</v>
      </c>
      <c r="Q100" s="88">
        <f>USD!Q101</f>
        <v>85</v>
      </c>
      <c r="R100" s="176">
        <f>USD!R101</f>
        <v>0.85</v>
      </c>
      <c r="S100" s="176">
        <f>USD!S101</f>
        <v>0.85</v>
      </c>
      <c r="T100" s="176">
        <f>USD!T101</f>
        <v>0.7</v>
      </c>
      <c r="U100" s="176">
        <f>USD!U101</f>
        <v>0.85</v>
      </c>
      <c r="V100" s="176">
        <f>USD!V101</f>
        <v>0.7</v>
      </c>
      <c r="W100" s="176">
        <f>USD!W101</f>
        <v>0.85</v>
      </c>
      <c r="X100" s="176">
        <f>USD!X101</f>
        <v>0.95</v>
      </c>
      <c r="Y100" s="176">
        <f>USD!Y101</f>
        <v>1</v>
      </c>
      <c r="Z100" s="176">
        <f>USD!Z101</f>
        <v>0.9</v>
      </c>
      <c r="AA100" s="176">
        <f>USD!AA101</f>
        <v>0.85</v>
      </c>
    </row>
    <row r="101" spans="15:27" ht="12.75">
      <c r="O101" s="87" t="str">
        <f>USD!O102</f>
        <v>г. Челябинск</v>
      </c>
      <c r="P101" s="88">
        <f>USD!P102</f>
        <v>100</v>
      </c>
      <c r="Q101" s="88">
        <f>USD!Q102</f>
        <v>85</v>
      </c>
      <c r="R101" s="176">
        <f>USD!R102</f>
        <v>0.9</v>
      </c>
      <c r="S101" s="176">
        <f>USD!S102</f>
        <v>0.85</v>
      </c>
      <c r="T101" s="176">
        <f>USD!T102</f>
        <v>0.7</v>
      </c>
      <c r="U101" s="176">
        <f>USD!U102</f>
        <v>0.85</v>
      </c>
      <c r="V101" s="176">
        <f>USD!V102</f>
        <v>0.7</v>
      </c>
      <c r="W101" s="176">
        <f>USD!W102</f>
        <v>0.9</v>
      </c>
      <c r="X101" s="176">
        <f>USD!X102</f>
        <v>0.95</v>
      </c>
      <c r="Y101" s="176">
        <f>USD!Y102</f>
        <v>1</v>
      </c>
      <c r="Z101" s="176">
        <f>USD!Z102</f>
        <v>0.9</v>
      </c>
      <c r="AA101" s="176">
        <f>USD!AA102</f>
        <v>0.85</v>
      </c>
    </row>
    <row r="102" spans="15:27" ht="12.75">
      <c r="O102" s="87" t="str">
        <f>USD!O103</f>
        <v>Чувашская республика (включая г. Чебоксары)</v>
      </c>
      <c r="P102" s="88">
        <f>USD!P103</f>
        <v>100</v>
      </c>
      <c r="Q102" s="88">
        <f>USD!Q103</f>
        <v>85</v>
      </c>
      <c r="R102" s="176">
        <f>USD!R103</f>
        <v>0.85</v>
      </c>
      <c r="S102" s="176">
        <f>USD!S103</f>
        <v>0.85</v>
      </c>
      <c r="T102" s="176">
        <f>USD!T103</f>
        <v>0.7</v>
      </c>
      <c r="U102" s="176">
        <f>USD!U103</f>
        <v>0.85</v>
      </c>
      <c r="V102" s="176">
        <f>USD!V103</f>
        <v>0.7</v>
      </c>
      <c r="W102" s="176">
        <f>USD!W103</f>
        <v>0.85</v>
      </c>
      <c r="X102" s="176">
        <f>USD!X103</f>
        <v>0.95</v>
      </c>
      <c r="Y102" s="176">
        <f>USD!Y103</f>
        <v>1</v>
      </c>
      <c r="Z102" s="176">
        <f>USD!Z103</f>
        <v>0.9</v>
      </c>
      <c r="AA102" s="176">
        <f>USD!AA103</f>
        <v>0.85</v>
      </c>
    </row>
    <row r="103" spans="15:27" ht="12.75">
      <c r="O103" s="87" t="str">
        <f>USD!O104</f>
        <v>Ярославская область (не включая г. Ярославль)</v>
      </c>
      <c r="P103" s="88">
        <f>USD!P104</f>
        <v>100</v>
      </c>
      <c r="Q103" s="88">
        <f>USD!Q104</f>
        <v>85</v>
      </c>
      <c r="R103" s="176">
        <f>USD!R104</f>
        <v>0.85</v>
      </c>
      <c r="S103" s="176">
        <f>USD!S104</f>
        <v>0.85</v>
      </c>
      <c r="T103" s="176">
        <f>USD!T104</f>
        <v>0.7</v>
      </c>
      <c r="U103" s="176">
        <f>USD!U104</f>
        <v>0.85</v>
      </c>
      <c r="V103" s="176">
        <f>USD!V104</f>
        <v>0.7</v>
      </c>
      <c r="W103" s="176">
        <f>USD!W104</f>
        <v>0.85</v>
      </c>
      <c r="X103" s="176">
        <f>USD!X104</f>
        <v>0.95</v>
      </c>
      <c r="Y103" s="176">
        <f>USD!Y104</f>
        <v>1</v>
      </c>
      <c r="Z103" s="176">
        <f>USD!Z104</f>
        <v>0.9</v>
      </c>
      <c r="AA103" s="176">
        <f>USD!AA104</f>
        <v>0.85</v>
      </c>
    </row>
    <row r="104" spans="15:27" ht="12.75">
      <c r="O104" s="87" t="str">
        <f>USD!O105</f>
        <v>г. Ярославль</v>
      </c>
      <c r="P104" s="88">
        <f>USD!P105</f>
        <v>100</v>
      </c>
      <c r="Q104" s="88">
        <f>USD!Q105</f>
        <v>85</v>
      </c>
      <c r="R104" s="176">
        <f>USD!R105</f>
        <v>0.9</v>
      </c>
      <c r="S104" s="176">
        <f>USD!S105</f>
        <v>0.85</v>
      </c>
      <c r="T104" s="176">
        <f>USD!T105</f>
        <v>0.7</v>
      </c>
      <c r="U104" s="176">
        <f>USD!U105</f>
        <v>0.85</v>
      </c>
      <c r="V104" s="176">
        <f>USD!V105</f>
        <v>0.7</v>
      </c>
      <c r="W104" s="176">
        <f>USD!W105</f>
        <v>0.9</v>
      </c>
      <c r="X104" s="176">
        <f>USD!X105</f>
        <v>0.95</v>
      </c>
      <c r="Y104" s="176">
        <f>USD!Y105</f>
        <v>1</v>
      </c>
      <c r="Z104" s="176">
        <f>USD!Z105</f>
        <v>0.9</v>
      </c>
      <c r="AA104" s="176">
        <f>USD!AA105</f>
        <v>0.85</v>
      </c>
    </row>
  </sheetData>
  <sheetProtection password="84F1" sheet="1" objects="1" scenarios="1"/>
  <mergeCells count="10">
    <mergeCell ref="Y25:AA25"/>
    <mergeCell ref="U25:V25"/>
    <mergeCell ref="W25:X25"/>
    <mergeCell ref="I4:J4"/>
    <mergeCell ref="G5:H5"/>
    <mergeCell ref="I5:J5"/>
    <mergeCell ref="B2:H2"/>
    <mergeCell ref="A4:B4"/>
    <mergeCell ref="G4:H4"/>
    <mergeCell ref="A5:B5"/>
  </mergeCells>
  <dataValidations count="2">
    <dataValidation type="whole" operator="lessThanOrEqual" allowBlank="1" showErrorMessage="1" promptTitle="ошибка " errorTitle="Ошибка ввода" error="Срок кредита не может быть более 10 лет." sqref="C4">
      <formula1>10</formula1>
    </dataValidation>
    <dataValidation type="list" allowBlank="1" showInputMessage="1" showErrorMessage="1" sqref="B2:H2">
      <formula1>$O$27:$O$104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AA104"/>
  <sheetViews>
    <sheetView workbookViewId="0" topLeftCell="A1">
      <selection activeCell="F8" sqref="F8"/>
    </sheetView>
  </sheetViews>
  <sheetFormatPr defaultColWidth="9.00390625" defaultRowHeight="12.75"/>
  <cols>
    <col min="1" max="1" width="29.00390625" style="34" customWidth="1"/>
    <col min="2" max="2" width="16.75390625" style="34" customWidth="1"/>
    <col min="3" max="3" width="5.75390625" style="34" customWidth="1"/>
    <col min="4" max="4" width="16.75390625" style="34" customWidth="1"/>
    <col min="5" max="5" width="5.75390625" style="34" customWidth="1"/>
    <col min="6" max="6" width="16.75390625" style="34" customWidth="1"/>
    <col min="7" max="7" width="5.75390625" style="34" customWidth="1"/>
    <col min="8" max="8" width="16.75390625" style="34" customWidth="1"/>
    <col min="9" max="9" width="5.75390625" style="34" customWidth="1"/>
    <col min="10" max="10" width="16.75390625" style="34" customWidth="1"/>
    <col min="11" max="13" width="9.125" style="34" customWidth="1"/>
    <col min="14" max="14" width="0" style="34" hidden="1" customWidth="1"/>
    <col min="15" max="15" width="12.125" style="34" hidden="1" customWidth="1"/>
    <col min="16" max="27" width="0" style="34" hidden="1" customWidth="1"/>
    <col min="28" max="16384" width="9.125" style="34" customWidth="1"/>
  </cols>
  <sheetData>
    <row r="1" s="102" customFormat="1" ht="13.5" thickBot="1"/>
    <row r="2" spans="1:15" s="109" customFormat="1" ht="17.25" customHeight="1" thickBot="1" thickTop="1">
      <c r="A2" s="108" t="s">
        <v>26</v>
      </c>
      <c r="B2" s="222" t="s">
        <v>110</v>
      </c>
      <c r="C2" s="223"/>
      <c r="D2" s="223"/>
      <c r="E2" s="223"/>
      <c r="F2" s="223"/>
      <c r="G2" s="223"/>
      <c r="H2" s="224"/>
      <c r="J2" s="117">
        <f>O2</f>
        <v>100</v>
      </c>
      <c r="O2" s="110">
        <f>IF(D7&gt;=USD!V114,O8,O7)</f>
        <v>100</v>
      </c>
    </row>
    <row r="3" s="109" customFormat="1" ht="9" customHeight="1" thickBot="1" thickTop="1"/>
    <row r="4" spans="1:17" s="109" customFormat="1" ht="17.25" customHeight="1" thickBot="1" thickTop="1">
      <c r="A4" s="108" t="s">
        <v>28</v>
      </c>
      <c r="B4" s="231" t="s">
        <v>30</v>
      </c>
      <c r="C4" s="232"/>
      <c r="D4" s="233"/>
      <c r="E4" s="227" t="s">
        <v>56</v>
      </c>
      <c r="F4" s="227"/>
      <c r="G4" s="227"/>
      <c r="H4" s="227"/>
      <c r="I4" s="228"/>
      <c r="J4" s="118">
        <f>IF(D5&gt;=J5+USD!U117,J5+USD!U117,D5)</f>
        <v>0.14</v>
      </c>
      <c r="K4" s="111"/>
      <c r="L4" s="111"/>
      <c r="N4" s="109">
        <v>1</v>
      </c>
      <c r="O4" s="109" t="s">
        <v>30</v>
      </c>
      <c r="Q4" s="109">
        <f>VLOOKUP(B2,O27:V104,8,FALSE)</f>
        <v>0.7</v>
      </c>
    </row>
    <row r="5" spans="1:17" s="109" customFormat="1" ht="17.25" thickBot="1" thickTop="1">
      <c r="A5" s="225" t="s">
        <v>31</v>
      </c>
      <c r="B5" s="225"/>
      <c r="C5" s="226"/>
      <c r="D5" s="121">
        <v>0.14</v>
      </c>
      <c r="E5" s="229" t="s">
        <v>57</v>
      </c>
      <c r="F5" s="229"/>
      <c r="G5" s="229"/>
      <c r="H5" s="229"/>
      <c r="I5" s="230"/>
      <c r="J5" s="118">
        <f>IF(B4=O5,IF(D6&lt;=USD!O136,USD!P136,IF(D6&lt;=USD!O137,USD!P137,IF(D6&lt;=USD!O138,USD!P138,IF(D6&lt;=USD!O139,USD!P139,IF(D6&lt;=USD!O140,USD!P140,10))))),IF(D6&lt;=USD!O136,USD!R136,IF(D6&lt;=USD!O137,USD!R137,10)))</f>
        <v>0.125</v>
      </c>
      <c r="K5" s="111"/>
      <c r="L5" s="111"/>
      <c r="N5" s="109">
        <v>2</v>
      </c>
      <c r="O5" s="109" t="s">
        <v>29</v>
      </c>
      <c r="Q5" s="109">
        <f>VLOOKUP(B2,O27:V104,7,FALSE)</f>
        <v>0.85</v>
      </c>
    </row>
    <row r="6" spans="1:14" s="109" customFormat="1" ht="17.25" thickBot="1" thickTop="1">
      <c r="A6" s="225" t="s">
        <v>0</v>
      </c>
      <c r="B6" s="225"/>
      <c r="C6" s="226"/>
      <c r="D6" s="119">
        <v>10</v>
      </c>
      <c r="E6" s="113" t="s">
        <v>32</v>
      </c>
      <c r="K6" s="111"/>
      <c r="L6" s="111"/>
      <c r="M6" s="111"/>
      <c r="N6" s="111"/>
    </row>
    <row r="7" spans="1:15" s="109" customFormat="1" ht="17.25" thickBot="1" thickTop="1">
      <c r="A7" s="225" t="s">
        <v>3</v>
      </c>
      <c r="B7" s="225"/>
      <c r="C7" s="226"/>
      <c r="D7" s="119">
        <v>2</v>
      </c>
      <c r="E7" s="113"/>
      <c r="O7" s="7">
        <f>VLOOKUP(B2,O27:P104,2,FALSE)</f>
        <v>100</v>
      </c>
    </row>
    <row r="8" spans="1:15" s="109" customFormat="1" ht="17.25" thickBot="1" thickTop="1">
      <c r="A8" s="225" t="s">
        <v>33</v>
      </c>
      <c r="B8" s="225"/>
      <c r="C8" s="226"/>
      <c r="D8" s="119">
        <v>4</v>
      </c>
      <c r="E8" s="113" t="s">
        <v>34</v>
      </c>
      <c r="N8" s="7">
        <f>O2*D7</f>
        <v>200</v>
      </c>
      <c r="O8" s="7">
        <f>VLOOKUP(B2,O27:Q104,3,FALSE)</f>
        <v>85</v>
      </c>
    </row>
    <row r="9" spans="5:6" s="109" customFormat="1" ht="9" customHeight="1" thickTop="1">
      <c r="E9" s="114"/>
      <c r="F9" s="114"/>
    </row>
    <row r="10" spans="1:10" ht="25.5">
      <c r="A10" s="109"/>
      <c r="B10" s="27" t="s">
        <v>4</v>
      </c>
      <c r="D10" s="27" t="s">
        <v>5</v>
      </c>
      <c r="F10" s="27" t="s">
        <v>6</v>
      </c>
      <c r="H10" s="27" t="s">
        <v>7</v>
      </c>
      <c r="J10" s="27" t="s">
        <v>8</v>
      </c>
    </row>
    <row r="11" ht="9" customHeight="1" thickBot="1">
      <c r="H11" s="27"/>
    </row>
    <row r="12" spans="1:23" ht="26.25" customHeight="1" thickBot="1" thickTop="1">
      <c r="A12" s="31" t="s">
        <v>9</v>
      </c>
      <c r="B12" s="39">
        <v>150000</v>
      </c>
      <c r="D12" s="41">
        <f>IF($B$4=$O$5,D14/$Q$5,D14/$Q$4)</f>
        <v>121428.57142857143</v>
      </c>
      <c r="F12" s="41">
        <f>IF($B$4=$O$5,F14/$Q$5,F14/$Q$4)</f>
        <v>64405.71428571429</v>
      </c>
      <c r="H12" s="41">
        <f>IF($B$4=$O$5,H14/$Q$5,H14/$Q$4)</f>
        <v>64424.28571428572</v>
      </c>
      <c r="J12" s="41">
        <f>IF($B$4=$O$5,J22/(1-$Q$5),J22/(1-$Q$4))</f>
        <v>9833.333333333332</v>
      </c>
      <c r="N12" s="81">
        <f>(B16+$N$8)/USD!$T$123</f>
        <v>3050</v>
      </c>
      <c r="O12" s="81">
        <f>B16/USD!$S$123</f>
        <v>4075</v>
      </c>
      <c r="P12" s="81">
        <f>(D16+$N$8)/USD!$T$123</f>
        <v>2533.3333333333335</v>
      </c>
      <c r="Q12" s="81">
        <f>D16/USD!$S$123</f>
        <v>3300</v>
      </c>
      <c r="R12" s="81">
        <f>(F16+$N$8)/USD!$T$123</f>
        <v>1500</v>
      </c>
      <c r="S12" s="81">
        <f>F16/USD!$S$123</f>
        <v>1750</v>
      </c>
      <c r="V12" s="81">
        <f>(J16+$N$8)/USD!$T$123</f>
        <v>511.6666666666667</v>
      </c>
      <c r="W12" s="81">
        <f>J16/USD!$S$123</f>
        <v>267.5</v>
      </c>
    </row>
    <row r="13" spans="1:23" s="109" customFormat="1" ht="9" customHeight="1" thickBot="1" thickTop="1">
      <c r="A13" s="115"/>
      <c r="H13" s="116"/>
      <c r="N13" s="80"/>
      <c r="O13" s="81">
        <f>USD!$R$123+0.01</f>
        <v>1000.01</v>
      </c>
      <c r="P13" s="80"/>
      <c r="Q13" s="81">
        <f>USD!$R$123+0.01</f>
        <v>1000.01</v>
      </c>
      <c r="R13" s="80"/>
      <c r="S13" s="81">
        <f>USD!$R$123+0.01</f>
        <v>1000.01</v>
      </c>
      <c r="T13" s="34"/>
      <c r="U13" s="34"/>
      <c r="V13" s="80"/>
      <c r="W13" s="81">
        <f>USD!$R$123+0.01</f>
        <v>1000.01</v>
      </c>
    </row>
    <row r="14" spans="1:23" ht="26.25" customHeight="1" thickBot="1" thickTop="1">
      <c r="A14" s="31" t="s">
        <v>10</v>
      </c>
      <c r="B14" s="43">
        <f>IF($B$4=$O$5,B12*Q5,B12*Q4)</f>
        <v>105000</v>
      </c>
      <c r="D14" s="44">
        <v>85000</v>
      </c>
      <c r="F14" s="43">
        <f>ROUND(F16/(($J$4/12)/(1-(1+($J$4/12))^-($D$6*12))),0)</f>
        <v>45084</v>
      </c>
      <c r="H14" s="43">
        <f>ROUND(H16/(($J$4/12)/(1-(1+($J$4/12))^-($D$6*12))),0)</f>
        <v>45097</v>
      </c>
      <c r="J14" s="45">
        <f>J12-J22</f>
        <v>6883.333333333332</v>
      </c>
      <c r="N14" s="81">
        <f>(B16+$N$8)/USD!$T$124</f>
        <v>2815.3846153846152</v>
      </c>
      <c r="O14" s="81">
        <f>USD!$R$123+0.01</f>
        <v>1000.01</v>
      </c>
      <c r="P14" s="81">
        <f>(D16+$N$8)/USD!$T$124</f>
        <v>2338.4615384615386</v>
      </c>
      <c r="Q14" s="81">
        <f>USD!$R$123+0.01</f>
        <v>1000.01</v>
      </c>
      <c r="R14" s="81">
        <f>(F16+$N$8)/USD!$T$124</f>
        <v>1384.6153846153845</v>
      </c>
      <c r="S14" s="81">
        <f>USD!$R$123+0.01</f>
        <v>1000.01</v>
      </c>
      <c r="V14" s="81">
        <f>(J16+$N$8)/USD!$T$124</f>
        <v>472.30769230769226</v>
      </c>
      <c r="W14" s="81">
        <f>USD!$R$123+0.01</f>
        <v>1000.01</v>
      </c>
    </row>
    <row r="15" spans="1:23" ht="9" customHeight="1" thickBot="1" thickTop="1">
      <c r="A15" s="31"/>
      <c r="H15" s="28"/>
      <c r="N15" s="81"/>
      <c r="O15" s="81">
        <f>USD!$R$124+0.01</f>
        <v>2000.01</v>
      </c>
      <c r="P15" s="81"/>
      <c r="Q15" s="81">
        <f>USD!$R$124+0.01</f>
        <v>2000.01</v>
      </c>
      <c r="R15" s="81"/>
      <c r="S15" s="81">
        <f>USD!$R$124+0.01</f>
        <v>2000.01</v>
      </c>
      <c r="T15" s="109"/>
      <c r="U15" s="109"/>
      <c r="V15" s="81"/>
      <c r="W15" s="81">
        <f>USD!$R$124+0.01</f>
        <v>2000.01</v>
      </c>
    </row>
    <row r="16" spans="1:23" ht="26.25" customHeight="1" thickBot="1" thickTop="1">
      <c r="A16" s="38" t="s">
        <v>35</v>
      </c>
      <c r="B16" s="46">
        <f>ROUND(B14*(($J$4/12)/(1-(1+($J$4/12))^-($D$6*12))),0)</f>
        <v>1630</v>
      </c>
      <c r="D16" s="46">
        <f>ROUND(D14*(($J$4/12)/(1-(1+($J$4/12))^-($D$6*12))),0)</f>
        <v>1320</v>
      </c>
      <c r="F16" s="48">
        <v>700</v>
      </c>
      <c r="H16" s="46">
        <f>IF(H20=0,0,IF(H20&lt;=USD!R123,MIN(H20*USD!T123-N8,H20*USD!S123),IF(H20&lt;=USD!R124,MIN(H20*USD!T124-N8,H20*USD!S124),IF(H20&lt;=USD!R125,MIN(H20*USD!T125-N8,H20*USD!S125),IF(H20&lt;=USD!R126,MIN(H20*USD!T126-N8,H20*USD!S126),IF(H20&lt;=USD!R127,MIN(H20*USD!T127-N8,H20*USD!S127),IF(H20&lt;=USD!R128,MIN(H20*USD!T128-N8,H20*USD!S128),MIN(H20*USD!T129-N8,H20*USD!S129))))))))</f>
        <v>700.2</v>
      </c>
      <c r="J16" s="46">
        <f>ROUND(J14*(($J$4/12)/(1-(1+($J$4/12))^-($D$6*12))),0)</f>
        <v>107</v>
      </c>
      <c r="N16" s="81">
        <f>(B16+$N$8)/USD!$T$125</f>
        <v>2614.2857142857147</v>
      </c>
      <c r="O16" s="81">
        <f>B16/USD!$S$125</f>
        <v>3260</v>
      </c>
      <c r="P16" s="81">
        <f>(D16+$N$8)/USD!$T$125</f>
        <v>2171.4285714285716</v>
      </c>
      <c r="Q16" s="81">
        <f>D16/USD!$S$125</f>
        <v>2640</v>
      </c>
      <c r="R16" s="81">
        <f>(F16+$N$8)/USD!$T$125</f>
        <v>1285.7142857142858</v>
      </c>
      <c r="S16" s="81">
        <f>F16/USD!$S$125</f>
        <v>1400</v>
      </c>
      <c r="V16" s="81">
        <f>(J16+$N$8)/USD!$T$125</f>
        <v>438.5714285714286</v>
      </c>
      <c r="W16" s="81">
        <f>J16/USD!$S$125</f>
        <v>214</v>
      </c>
    </row>
    <row r="17" spans="1:23" s="109" customFormat="1" ht="9" customHeight="1" thickTop="1">
      <c r="A17" s="115"/>
      <c r="H17" s="40"/>
      <c r="N17" s="81"/>
      <c r="O17" s="81">
        <f>USD!$R$125+0.01</f>
        <v>3000.01</v>
      </c>
      <c r="P17" s="81"/>
      <c r="Q17" s="81">
        <f>USD!$R$125+0.01</f>
        <v>3000.01</v>
      </c>
      <c r="R17" s="81"/>
      <c r="S17" s="81">
        <f>USD!$R$125+0.01</f>
        <v>3000.01</v>
      </c>
      <c r="V17" s="81"/>
      <c r="W17" s="81">
        <f>USD!$R$125+0.01</f>
        <v>3000.01</v>
      </c>
    </row>
    <row r="18" spans="1:23" ht="26.25" customHeight="1">
      <c r="A18" s="38" t="s">
        <v>58</v>
      </c>
      <c r="B18" s="46">
        <f>B24*(($J$5/12)/(1-(1+($J$5/12))^-($D$6*12-$D$8)))</f>
        <v>1545.460565467684</v>
      </c>
      <c r="D18" s="46">
        <f>D24*(($J$5/12)/(1-(1+($J$5/12))^-($D$6*12-$D$8)))</f>
        <v>1251.0655994953045</v>
      </c>
      <c r="F18" s="46">
        <f>F24*(($J$5/12)/(1-(1+($J$5/12))^-($D$6*12-$D$8)))</f>
        <v>663.5709798737396</v>
      </c>
      <c r="H18" s="46">
        <f>H24*(($J$5/12)/(1-(1+($J$5/12))^-($D$6*12-$D$8)))</f>
        <v>663.7624044051541</v>
      </c>
      <c r="J18" s="46">
        <f>J24*(($J$5/12)/(1-(1+($J$5/12))^-($D$6*12-$D$8)))</f>
        <v>101.30699672939257</v>
      </c>
      <c r="N18" s="81">
        <f>(B16+$N$8)/USD!$T$126</f>
        <v>2440</v>
      </c>
      <c r="O18" s="81">
        <f>B16/USD!$S$126</f>
        <v>2963.6363636363635</v>
      </c>
      <c r="P18" s="81">
        <f>(D16+$N$8)/USD!$T$126</f>
        <v>2026.6666666666667</v>
      </c>
      <c r="Q18" s="81">
        <f>D16/USD!$S$126</f>
        <v>2400</v>
      </c>
      <c r="R18" s="81">
        <f>(F16+$N$8)/USD!$T$126</f>
        <v>1200</v>
      </c>
      <c r="S18" s="81">
        <f>F16/USD!$S$126</f>
        <v>1272.7272727272725</v>
      </c>
      <c r="V18" s="81">
        <f>(J16+$N$8)/USD!$T$126</f>
        <v>409.3333333333333</v>
      </c>
      <c r="W18" s="81">
        <f>J16/USD!$S$126</f>
        <v>194.54545454545453</v>
      </c>
    </row>
    <row r="19" spans="1:23" s="109" customFormat="1" ht="9" customHeight="1" thickBot="1">
      <c r="A19" s="115"/>
      <c r="H19" s="116"/>
      <c r="N19" s="79"/>
      <c r="O19" s="81">
        <f>USD!$R$126+0.01</f>
        <v>6000.01</v>
      </c>
      <c r="P19" s="79"/>
      <c r="Q19" s="81">
        <f>USD!$R$126+0.01</f>
        <v>6000.01</v>
      </c>
      <c r="R19" s="79"/>
      <c r="S19" s="81">
        <f>USD!$R$126+0.01</f>
        <v>6000.01</v>
      </c>
      <c r="V19" s="79"/>
      <c r="W19" s="81">
        <f>USD!$R$126+0.01</f>
        <v>6000.01</v>
      </c>
    </row>
    <row r="20" spans="1:23" ht="26.25" customHeight="1" thickBot="1" thickTop="1">
      <c r="A20" s="38" t="s">
        <v>12</v>
      </c>
      <c r="B20" s="49">
        <f>IF(B12=0,0,IF(MAX(N12:O12)&lt;=USD!$R$123,MAX(N12:O12),IF(MAX(N14:O14)&lt;=USD!$R$124,MAX(N13:O14),IF(MAX(N16:O16)&lt;=USD!$R$125,MAX(N15:O16),IF(MAX(N18:O18)&lt;=USD!$R$126,MAX(N17:O18),IF(MAX(N20:O20)&lt;=USD!$R$127,MAX(N19:O20),IF(MAX(N22:O22)&lt;=USD!$R$128,MAX(N21:O22),MAX(N23:O24))))))))</f>
        <v>3000.01</v>
      </c>
      <c r="D20" s="49">
        <f>IF(D12=0,0,IF(MAX(P12:Q12)&lt;=USD!$R$123,MAX(P12:Q12),IF(MAX(P14:Q14)&lt;=USD!$R$124,MAX(P13:Q14),IF(MAX(P16:Q16)&lt;=USD!$R$125,MAX(P15:Q16),IF(MAX(P18:Q18)&lt;=USD!$R$126,MAX(P17:Q18),IF(MAX(P20:Q20)&lt;=USD!$R$127,MAX(P19:Q20),IF(MAX(P22:Q22)&lt;=USD!$R$128,MAX(P21:Q22),MAX(P23:Q24))))))))</f>
        <v>2640</v>
      </c>
      <c r="F20" s="49">
        <f>IF(F12=0,0,IF(MAX(R12:S12)&lt;=USD!$R$123,MAX(R12:S12),IF(MAX(R14:S14)&lt;=USD!$R$124,MAX(R13:S14),IF(MAX(R16:S16)&lt;=USD!$R$125,MAX(R15:S16),IF(MAX(R18:S18)&lt;=USD!$R$126,MAX(R17:S18),IF(MAX(R20:S20)&lt;=USD!$R$127,MAX(R19:S20),IF(MAX(R22:S22)&lt;=USD!$R$128,MAX(R21:S22),MAX(R23:S24))))))))</f>
        <v>1384.6153846153845</v>
      </c>
      <c r="H20" s="51">
        <v>1556</v>
      </c>
      <c r="J20" s="49">
        <f>IF(J12=0,0,IF(MAX(V12:W12)&lt;=USD!$R$123,MAX(V12:W12),IF(MAX(V14:W14)&lt;=USD!$R$124,MAX(V13:W14),IF(MAX(V16:W16)&lt;=USD!$R$125,MAX(V15:W16),IF(MAX(V18:W18)&lt;=USD!$R$126,MAX(V17:W18),IF(MAX(V20:W20)&lt;=USD!$R$127,MAX(V19:W20),IF(MAX(V22:W22)&lt;=USD!$R$128,MAX(V21:W22),MAX(V23:W24))))))))</f>
        <v>511.6666666666667</v>
      </c>
      <c r="N20" s="81">
        <f>(B16+$N$8)/USD!$T$127</f>
        <v>2287.5</v>
      </c>
      <c r="O20" s="81">
        <f>B16/USD!$S$127</f>
        <v>2716.666666666667</v>
      </c>
      <c r="P20" s="81">
        <f>(D16+$N$8)/USD!$T$127</f>
        <v>1900</v>
      </c>
      <c r="Q20" s="81">
        <f>D16/USD!$S$127</f>
        <v>2200</v>
      </c>
      <c r="R20" s="81">
        <f>(F16+$N$8)/USD!$T$127</f>
        <v>1125</v>
      </c>
      <c r="S20" s="81">
        <f>F16/USD!$S$127</f>
        <v>1166.6666666666667</v>
      </c>
      <c r="V20" s="81">
        <f>(J16+$N$8)/USD!$T$127</f>
        <v>383.75</v>
      </c>
      <c r="W20" s="81">
        <f>J16/USD!$S$127</f>
        <v>178.33333333333334</v>
      </c>
    </row>
    <row r="21" spans="1:23" s="109" customFormat="1" ht="9" customHeight="1" thickBot="1" thickTop="1">
      <c r="A21" s="115"/>
      <c r="H21" s="116"/>
      <c r="N21" s="79"/>
      <c r="O21" s="81">
        <f>USD!$R$127+0.01</f>
        <v>9000.01</v>
      </c>
      <c r="P21" s="79"/>
      <c r="Q21" s="81">
        <f>USD!$R$127+0.01</f>
        <v>9000.01</v>
      </c>
      <c r="R21" s="79"/>
      <c r="S21" s="81">
        <f>USD!$R$127+0.01</f>
        <v>9000.01</v>
      </c>
      <c r="T21" s="34"/>
      <c r="U21" s="34"/>
      <c r="V21" s="79"/>
      <c r="W21" s="81">
        <f>USD!$R$127+0.01</f>
        <v>9000.01</v>
      </c>
    </row>
    <row r="22" spans="1:23" ht="26.25" customHeight="1" thickBot="1" thickTop="1">
      <c r="A22" s="31" t="s">
        <v>13</v>
      </c>
      <c r="B22" s="52">
        <f>B12-B14</f>
        <v>45000</v>
      </c>
      <c r="D22" s="52">
        <f>D12-D14</f>
        <v>36428.571428571435</v>
      </c>
      <c r="F22" s="52">
        <f>F12-F14</f>
        <v>19321.71428571429</v>
      </c>
      <c r="H22" s="52">
        <f>H12-H14</f>
        <v>19327.285714285717</v>
      </c>
      <c r="J22" s="53">
        <v>2950</v>
      </c>
      <c r="N22" s="81">
        <f>(B16+$N$8)/USD!$T$128</f>
        <v>2152.9411764705883</v>
      </c>
      <c r="O22" s="81">
        <f>B16/USD!$S$128</f>
        <v>2507.6923076923076</v>
      </c>
      <c r="P22" s="81">
        <f>(D16+$N$8)/USD!$T$128</f>
        <v>1788.235294117647</v>
      </c>
      <c r="Q22" s="81">
        <f>D16/USD!$S$128</f>
        <v>2030.7692307692307</v>
      </c>
      <c r="R22" s="81">
        <f>(F16+$N$8)/USD!$T$128</f>
        <v>1058.8235294117646</v>
      </c>
      <c r="S22" s="81">
        <f>F16/USD!$S$128</f>
        <v>1076.923076923077</v>
      </c>
      <c r="V22" s="81">
        <f>(J16+$N$8)/USD!$T$128</f>
        <v>361.1764705882353</v>
      </c>
      <c r="W22" s="81">
        <f>J16/USD!$S$128</f>
        <v>164.6153846153846</v>
      </c>
    </row>
    <row r="23" spans="1:23" ht="9" customHeight="1" thickTop="1">
      <c r="A23" s="31"/>
      <c r="H23" s="29"/>
      <c r="N23" s="79"/>
      <c r="O23" s="81">
        <f>USD!$R$128+0.01</f>
        <v>12000.01</v>
      </c>
      <c r="P23" s="79"/>
      <c r="Q23" s="81">
        <f>USD!$R$128+0.01</f>
        <v>12000.01</v>
      </c>
      <c r="R23" s="79"/>
      <c r="S23" s="81">
        <f>USD!$R$128+0.01</f>
        <v>12000.01</v>
      </c>
      <c r="V23" s="79"/>
      <c r="W23" s="81">
        <f>USD!$R$128+0.01</f>
        <v>12000.01</v>
      </c>
    </row>
    <row r="24" spans="1:23" ht="26.25" customHeight="1">
      <c r="A24" s="38" t="s">
        <v>55</v>
      </c>
      <c r="B24" s="73">
        <f>(B14/POWER(1+$J$4/12,-($D$8-1)))-(B16*(POWER(1+$J$4/12,$D$8-1)-1)/($J$4/12))</f>
        <v>103770.76987500001</v>
      </c>
      <c r="D24" s="73">
        <f>(D14/POWER(1+$J$4/12,-($D$8-1)))-(D16*(POWER(1+$J$4/12,$D$8-1)-1)/($J$4/12))</f>
        <v>84003.46364351852</v>
      </c>
      <c r="F24" s="73">
        <f>(F14/POWER(1+$J$4/12,-($D$8-1)))-(F16*(POWER(1+$J$4/12,$D$8-1)-1)/($J$4/12))</f>
        <v>44555.82561394444</v>
      </c>
      <c r="H24" s="73">
        <f>(H14/POWER(1+$J$4/12,-($D$8-1)))-(H16*(POWER(1+$J$4/12,$D$8-1)-1)/($J$4/12))</f>
        <v>44568.67891569908</v>
      </c>
      <c r="J24" s="73">
        <f>(J14/POWER(1+$J$4/12,-($D$8-1)))-(J16*(POWER(1+$J$4/12,$D$8-1)-1)/($J$4/12))</f>
        <v>6802.312061033949</v>
      </c>
      <c r="N24" s="81">
        <f>(B16+$N$8)/USD!$T$129</f>
        <v>2033.3333333333333</v>
      </c>
      <c r="O24" s="81">
        <f>B16/USD!$S$129</f>
        <v>2328.571428571429</v>
      </c>
      <c r="P24" s="81">
        <f>(D16+$N$8)/USD!$T$129</f>
        <v>1688.888888888889</v>
      </c>
      <c r="Q24" s="81">
        <f>D16/USD!$S$129</f>
        <v>1885.7142857142858</v>
      </c>
      <c r="R24" s="81">
        <f>(F16+$N$8)/USD!$T$129</f>
        <v>1000</v>
      </c>
      <c r="S24" s="81">
        <f>F16/USD!$S$129</f>
        <v>1000.0000000000001</v>
      </c>
      <c r="V24" s="81">
        <f>(J16+$N$8)/USD!$T$129</f>
        <v>341.1111111111111</v>
      </c>
      <c r="W24" s="81">
        <f>J16/USD!$S$129</f>
        <v>152.85714285714286</v>
      </c>
    </row>
    <row r="25" spans="15:27" ht="12.75">
      <c r="O25" s="24"/>
      <c r="P25" s="25"/>
      <c r="Q25" s="30"/>
      <c r="R25" s="175" t="str">
        <f>USD!R26</f>
        <v>Готовое</v>
      </c>
      <c r="S25" s="175" t="str">
        <f>USD!S26</f>
        <v>Стройка</v>
      </c>
      <c r="T25" s="175" t="str">
        <f>USD!T26</f>
        <v>Нецелевой</v>
      </c>
      <c r="U25" s="199" t="str">
        <f>USD!U26</f>
        <v>Рефинансирование</v>
      </c>
      <c r="V25" s="199"/>
      <c r="W25" s="199" t="str">
        <f>USD!W26</f>
        <v>Сотрудники</v>
      </c>
      <c r="X25" s="199"/>
      <c r="Y25" s="199" t="str">
        <f>USD!Y26</f>
        <v>УЖУ</v>
      </c>
      <c r="Z25" s="199"/>
      <c r="AA25" s="199"/>
    </row>
    <row r="26" spans="15:27" ht="12.75">
      <c r="O26" s="24"/>
      <c r="P26" s="25"/>
      <c r="Q26" s="30"/>
      <c r="R26" s="175"/>
      <c r="S26" s="175"/>
      <c r="T26" s="175"/>
      <c r="U26" s="175" t="str">
        <f>USD!U27</f>
        <v>Готовое</v>
      </c>
      <c r="V26" s="175" t="str">
        <f>USD!V27</f>
        <v>Нецелевой</v>
      </c>
      <c r="W26" s="175" t="str">
        <f>USD!W27</f>
        <v>Готовое</v>
      </c>
      <c r="X26" s="175" t="str">
        <f>USD!X27</f>
        <v>Стройка</v>
      </c>
      <c r="Y26" s="175" t="str">
        <f>USD!Y27</f>
        <v>Собств.</v>
      </c>
      <c r="Z26" s="175" t="str">
        <f>USD!Z27</f>
        <v>Собств.+Покуп.</v>
      </c>
      <c r="AA26" s="175" t="str">
        <f>USD!AA27</f>
        <v>Не продается</v>
      </c>
    </row>
    <row r="27" spans="15:27" ht="12.75">
      <c r="O27" s="87" t="str">
        <f>USD!O28</f>
        <v>Остальные регионы</v>
      </c>
      <c r="P27" s="88">
        <f>USD!P28</f>
        <v>100</v>
      </c>
      <c r="Q27" s="88">
        <f>USD!Q28</f>
        <v>85</v>
      </c>
      <c r="R27" s="176">
        <f>USD!R28</f>
        <v>0.85</v>
      </c>
      <c r="S27" s="176">
        <f>USD!S28</f>
        <v>0.85</v>
      </c>
      <c r="T27" s="176">
        <f>USD!T28</f>
        <v>0.7</v>
      </c>
      <c r="U27" s="176">
        <f>USD!U28</f>
        <v>0.85</v>
      </c>
      <c r="V27" s="176">
        <f>USD!V28</f>
        <v>0.7</v>
      </c>
      <c r="W27" s="176">
        <f>USD!W28</f>
        <v>0.85</v>
      </c>
      <c r="X27" s="176">
        <f>USD!X28</f>
        <v>0.95</v>
      </c>
      <c r="Y27" s="176">
        <f>USD!Y28</f>
        <v>1</v>
      </c>
      <c r="Z27" s="176">
        <f>USD!Z28</f>
        <v>0.9</v>
      </c>
      <c r="AA27" s="176">
        <f>USD!AA28</f>
        <v>0.85</v>
      </c>
    </row>
    <row r="28" spans="15:27" ht="12.75">
      <c r="O28" s="87" t="str">
        <f>USD!O29</f>
        <v>Архангельская область (не включая г. Архангельск)</v>
      </c>
      <c r="P28" s="88">
        <f>USD!P29</f>
        <v>100</v>
      </c>
      <c r="Q28" s="88">
        <f>USD!Q29</f>
        <v>85</v>
      </c>
      <c r="R28" s="176">
        <f>USD!R29</f>
        <v>0.85</v>
      </c>
      <c r="S28" s="176">
        <f>USD!S29</f>
        <v>0.85</v>
      </c>
      <c r="T28" s="176">
        <f>USD!T29</f>
        <v>0.7</v>
      </c>
      <c r="U28" s="176">
        <f>USD!U29</f>
        <v>0.85</v>
      </c>
      <c r="V28" s="176">
        <f>USD!V29</f>
        <v>0.7</v>
      </c>
      <c r="W28" s="176">
        <f>USD!W29</f>
        <v>0.85</v>
      </c>
      <c r="X28" s="176">
        <f>USD!X29</f>
        <v>0.95</v>
      </c>
      <c r="Y28" s="176">
        <f>USD!Y29</f>
        <v>1</v>
      </c>
      <c r="Z28" s="176">
        <f>USD!Z29</f>
        <v>0.9</v>
      </c>
      <c r="AA28" s="176">
        <f>USD!AA29</f>
        <v>0.85</v>
      </c>
    </row>
    <row r="29" spans="15:27" ht="12.75">
      <c r="O29" s="87" t="str">
        <f>USD!O30</f>
        <v>г. Архангельск</v>
      </c>
      <c r="P29" s="88">
        <f>USD!P30</f>
        <v>100</v>
      </c>
      <c r="Q29" s="88">
        <f>USD!Q30</f>
        <v>85</v>
      </c>
      <c r="R29" s="176">
        <f>USD!R30</f>
        <v>0.9</v>
      </c>
      <c r="S29" s="176">
        <f>USD!S30</f>
        <v>0.85</v>
      </c>
      <c r="T29" s="176">
        <f>USD!T30</f>
        <v>0.7</v>
      </c>
      <c r="U29" s="176">
        <f>USD!U30</f>
        <v>0.85</v>
      </c>
      <c r="V29" s="176">
        <f>USD!V30</f>
        <v>0.7</v>
      </c>
      <c r="W29" s="176">
        <f>USD!W30</f>
        <v>0.9</v>
      </c>
      <c r="X29" s="176">
        <f>USD!X30</f>
        <v>0.95</v>
      </c>
      <c r="Y29" s="176">
        <f>USD!Y30</f>
        <v>1</v>
      </c>
      <c r="Z29" s="176">
        <f>USD!Z30</f>
        <v>0.9</v>
      </c>
      <c r="AA29" s="176">
        <f>USD!AA30</f>
        <v>0.85</v>
      </c>
    </row>
    <row r="30" spans="15:27" ht="12.75">
      <c r="O30" s="87" t="str">
        <f>USD!O31</f>
        <v>Астраханская область (не включая г. Астрахань)</v>
      </c>
      <c r="P30" s="88">
        <f>USD!P31</f>
        <v>100</v>
      </c>
      <c r="Q30" s="88">
        <f>USD!Q31</f>
        <v>85</v>
      </c>
      <c r="R30" s="176">
        <f>USD!R31</f>
        <v>0.85</v>
      </c>
      <c r="S30" s="176">
        <f>USD!S31</f>
        <v>0.85</v>
      </c>
      <c r="T30" s="176">
        <f>USD!T31</f>
        <v>0.7</v>
      </c>
      <c r="U30" s="176">
        <f>USD!U31</f>
        <v>0.85</v>
      </c>
      <c r="V30" s="176">
        <f>USD!V31</f>
        <v>0.7</v>
      </c>
      <c r="W30" s="176">
        <f>USD!W31</f>
        <v>0.85</v>
      </c>
      <c r="X30" s="176">
        <f>USD!X31</f>
        <v>0.95</v>
      </c>
      <c r="Y30" s="176">
        <f>USD!Y31</f>
        <v>1</v>
      </c>
      <c r="Z30" s="176">
        <f>USD!Z31</f>
        <v>0.9</v>
      </c>
      <c r="AA30" s="176">
        <f>USD!AA31</f>
        <v>0.85</v>
      </c>
    </row>
    <row r="31" spans="15:27" ht="12.75">
      <c r="O31" s="87" t="str">
        <f>USD!O32</f>
        <v>г. Астрахань</v>
      </c>
      <c r="P31" s="88">
        <f>USD!P32</f>
        <v>100</v>
      </c>
      <c r="Q31" s="88">
        <f>USD!Q32</f>
        <v>85</v>
      </c>
      <c r="R31" s="176">
        <f>USD!R32</f>
        <v>0.9</v>
      </c>
      <c r="S31" s="176">
        <f>USD!S32</f>
        <v>0.85</v>
      </c>
      <c r="T31" s="176">
        <f>USD!T32</f>
        <v>0.7</v>
      </c>
      <c r="U31" s="176">
        <f>USD!U32</f>
        <v>0.85</v>
      </c>
      <c r="V31" s="176">
        <f>USD!V32</f>
        <v>0.7</v>
      </c>
      <c r="W31" s="176">
        <f>USD!W32</f>
        <v>0.9</v>
      </c>
      <c r="X31" s="176">
        <f>USD!X32</f>
        <v>0.95</v>
      </c>
      <c r="Y31" s="176">
        <f>USD!Y32</f>
        <v>1</v>
      </c>
      <c r="Z31" s="176">
        <f>USD!Z32</f>
        <v>0.9</v>
      </c>
      <c r="AA31" s="176">
        <f>USD!AA32</f>
        <v>0.85</v>
      </c>
    </row>
    <row r="32" spans="15:27" ht="12.75">
      <c r="O32" s="87" t="str">
        <f>USD!O33</f>
        <v>Алтайский край (не включая г. Барнаул)</v>
      </c>
      <c r="P32" s="88">
        <f>USD!P33</f>
        <v>100</v>
      </c>
      <c r="Q32" s="88">
        <f>USD!Q33</f>
        <v>85</v>
      </c>
      <c r="R32" s="176">
        <f>USD!R33</f>
        <v>0.85</v>
      </c>
      <c r="S32" s="176">
        <f>USD!S33</f>
        <v>0.85</v>
      </c>
      <c r="T32" s="176">
        <f>USD!T33</f>
        <v>0.7</v>
      </c>
      <c r="U32" s="176">
        <f>USD!U33</f>
        <v>0.85</v>
      </c>
      <c r="V32" s="176">
        <f>USD!V33</f>
        <v>0.7</v>
      </c>
      <c r="W32" s="176">
        <f>USD!W33</f>
        <v>0.85</v>
      </c>
      <c r="X32" s="176">
        <f>USD!X33</f>
        <v>0.95</v>
      </c>
      <c r="Y32" s="176">
        <f>USD!Y33</f>
        <v>1</v>
      </c>
      <c r="Z32" s="176">
        <f>USD!Z33</f>
        <v>0.9</v>
      </c>
      <c r="AA32" s="176">
        <f>USD!AA33</f>
        <v>0.85</v>
      </c>
    </row>
    <row r="33" spans="15:27" ht="12.75">
      <c r="O33" s="87" t="str">
        <f>USD!O34</f>
        <v>г. Барнаул</v>
      </c>
      <c r="P33" s="88">
        <f>USD!P34</f>
        <v>100</v>
      </c>
      <c r="Q33" s="88">
        <f>USD!Q34</f>
        <v>85</v>
      </c>
      <c r="R33" s="176">
        <f>USD!R34</f>
        <v>0.9</v>
      </c>
      <c r="S33" s="176">
        <f>USD!S34</f>
        <v>0.85</v>
      </c>
      <c r="T33" s="176">
        <f>USD!T34</f>
        <v>0.7</v>
      </c>
      <c r="U33" s="176">
        <f>USD!U34</f>
        <v>0.85</v>
      </c>
      <c r="V33" s="176">
        <f>USD!V34</f>
        <v>0.7</v>
      </c>
      <c r="W33" s="176">
        <f>USD!W34</f>
        <v>0.9</v>
      </c>
      <c r="X33" s="176">
        <f>USD!X34</f>
        <v>0.95</v>
      </c>
      <c r="Y33" s="176">
        <f>USD!Y34</f>
        <v>1</v>
      </c>
      <c r="Z33" s="176">
        <f>USD!Z34</f>
        <v>0.9</v>
      </c>
      <c r="AA33" s="176">
        <f>USD!AA34</f>
        <v>0.85</v>
      </c>
    </row>
    <row r="34" spans="15:27" ht="12.75">
      <c r="O34" s="87" t="str">
        <f>USD!O35</f>
        <v>Белгородская область (не включая г. Белгород)</v>
      </c>
      <c r="P34" s="88">
        <f>USD!P35</f>
        <v>100</v>
      </c>
      <c r="Q34" s="88">
        <f>USD!Q35</f>
        <v>85</v>
      </c>
      <c r="R34" s="176">
        <f>USD!R35</f>
        <v>0.85</v>
      </c>
      <c r="S34" s="176">
        <f>USD!S35</f>
        <v>0.85</v>
      </c>
      <c r="T34" s="176">
        <f>USD!T35</f>
        <v>0.7</v>
      </c>
      <c r="U34" s="176">
        <f>USD!U35</f>
        <v>0.85</v>
      </c>
      <c r="V34" s="176">
        <f>USD!V35</f>
        <v>0.7</v>
      </c>
      <c r="W34" s="176">
        <f>USD!W35</f>
        <v>0.85</v>
      </c>
      <c r="X34" s="176">
        <f>USD!X35</f>
        <v>0.95</v>
      </c>
      <c r="Y34" s="176">
        <f>USD!Y35</f>
        <v>1</v>
      </c>
      <c r="Z34" s="176">
        <f>USD!Z35</f>
        <v>0.9</v>
      </c>
      <c r="AA34" s="176">
        <f>USD!AA35</f>
        <v>0.85</v>
      </c>
    </row>
    <row r="35" spans="15:27" ht="12.75">
      <c r="O35" s="87" t="str">
        <f>USD!O36</f>
        <v>г. Белгород</v>
      </c>
      <c r="P35" s="88">
        <f>USD!P36</f>
        <v>100</v>
      </c>
      <c r="Q35" s="88">
        <f>USD!Q36</f>
        <v>85</v>
      </c>
      <c r="R35" s="176">
        <f>USD!R36</f>
        <v>0.9</v>
      </c>
      <c r="S35" s="176">
        <f>USD!S36</f>
        <v>0.85</v>
      </c>
      <c r="T35" s="176">
        <f>USD!T36</f>
        <v>0.7</v>
      </c>
      <c r="U35" s="176">
        <f>USD!U36</f>
        <v>0.85</v>
      </c>
      <c r="V35" s="176">
        <f>USD!V36</f>
        <v>0.7</v>
      </c>
      <c r="W35" s="176">
        <f>USD!W36</f>
        <v>0.9</v>
      </c>
      <c r="X35" s="176">
        <f>USD!X36</f>
        <v>0.95</v>
      </c>
      <c r="Y35" s="176">
        <f>USD!Y36</f>
        <v>1</v>
      </c>
      <c r="Z35" s="176">
        <f>USD!Z36</f>
        <v>0.9</v>
      </c>
      <c r="AA35" s="176">
        <f>USD!AA36</f>
        <v>0.85</v>
      </c>
    </row>
    <row r="36" spans="15:27" ht="12.75">
      <c r="O36" s="87" t="str">
        <f>USD!O37</f>
        <v>Владимирская область (не включая г. Владимир)</v>
      </c>
      <c r="P36" s="88">
        <f>USD!P37</f>
        <v>100</v>
      </c>
      <c r="Q36" s="88">
        <f>USD!Q37</f>
        <v>85</v>
      </c>
      <c r="R36" s="176">
        <f>USD!R37</f>
        <v>0.85</v>
      </c>
      <c r="S36" s="176">
        <f>USD!S37</f>
        <v>0.85</v>
      </c>
      <c r="T36" s="176">
        <f>USD!T37</f>
        <v>0.7</v>
      </c>
      <c r="U36" s="176">
        <f>USD!U37</f>
        <v>0.85</v>
      </c>
      <c r="V36" s="176">
        <f>USD!V37</f>
        <v>0.7</v>
      </c>
      <c r="W36" s="176">
        <f>USD!W37</f>
        <v>0.85</v>
      </c>
      <c r="X36" s="176">
        <f>USD!X37</f>
        <v>0.95</v>
      </c>
      <c r="Y36" s="176">
        <f>USD!Y37</f>
        <v>1</v>
      </c>
      <c r="Z36" s="176">
        <f>USD!Z37</f>
        <v>0.9</v>
      </c>
      <c r="AA36" s="176">
        <f>USD!AA37</f>
        <v>0.85</v>
      </c>
    </row>
    <row r="37" spans="15:27" ht="12.75">
      <c r="O37" s="87" t="str">
        <f>USD!O38</f>
        <v>г. Владимир</v>
      </c>
      <c r="P37" s="88">
        <f>USD!P38</f>
        <v>100</v>
      </c>
      <c r="Q37" s="88">
        <f>USD!Q38</f>
        <v>85</v>
      </c>
      <c r="R37" s="176">
        <f>USD!R38</f>
        <v>0.9</v>
      </c>
      <c r="S37" s="176">
        <f>USD!S38</f>
        <v>0.85</v>
      </c>
      <c r="T37" s="176">
        <f>USD!T38</f>
        <v>0.7</v>
      </c>
      <c r="U37" s="176">
        <f>USD!U38</f>
        <v>0.85</v>
      </c>
      <c r="V37" s="176">
        <f>USD!V38</f>
        <v>0.7</v>
      </c>
      <c r="W37" s="176">
        <f>USD!W38</f>
        <v>0.9</v>
      </c>
      <c r="X37" s="176">
        <f>USD!X38</f>
        <v>0.95</v>
      </c>
      <c r="Y37" s="176">
        <f>USD!Y38</f>
        <v>1</v>
      </c>
      <c r="Z37" s="176">
        <f>USD!Z38</f>
        <v>0.9</v>
      </c>
      <c r="AA37" s="176">
        <f>USD!AA38</f>
        <v>0.85</v>
      </c>
    </row>
    <row r="38" spans="15:27" ht="12.75">
      <c r="O38" s="87" t="str">
        <f>USD!O39</f>
        <v>Волгоградская область (не включая г. Волгоград)</v>
      </c>
      <c r="P38" s="88">
        <f>USD!P39</f>
        <v>100</v>
      </c>
      <c r="Q38" s="88">
        <f>USD!Q39</f>
        <v>85</v>
      </c>
      <c r="R38" s="176">
        <f>USD!R39</f>
        <v>0.85</v>
      </c>
      <c r="S38" s="176">
        <f>USD!S39</f>
        <v>0.85</v>
      </c>
      <c r="T38" s="176">
        <f>USD!T39</f>
        <v>0.7</v>
      </c>
      <c r="U38" s="176">
        <f>USD!U39</f>
        <v>0.85</v>
      </c>
      <c r="V38" s="176">
        <f>USD!V39</f>
        <v>0.7</v>
      </c>
      <c r="W38" s="176">
        <f>USD!W39</f>
        <v>0.85</v>
      </c>
      <c r="X38" s="176">
        <f>USD!X39</f>
        <v>0.95</v>
      </c>
      <c r="Y38" s="176">
        <f>USD!Y39</f>
        <v>1</v>
      </c>
      <c r="Z38" s="176">
        <f>USD!Z39</f>
        <v>0.9</v>
      </c>
      <c r="AA38" s="176">
        <f>USD!AA39</f>
        <v>0.85</v>
      </c>
    </row>
    <row r="39" spans="15:27" ht="12.75">
      <c r="O39" s="87" t="str">
        <f>USD!O40</f>
        <v>г. Волгоград</v>
      </c>
      <c r="P39" s="88">
        <f>USD!P40</f>
        <v>100</v>
      </c>
      <c r="Q39" s="88">
        <f>USD!Q40</f>
        <v>85</v>
      </c>
      <c r="R39" s="176">
        <f>USD!R40</f>
        <v>0.9</v>
      </c>
      <c r="S39" s="176">
        <f>USD!S40</f>
        <v>0.85</v>
      </c>
      <c r="T39" s="176">
        <f>USD!T40</f>
        <v>0.7</v>
      </c>
      <c r="U39" s="176">
        <f>USD!U40</f>
        <v>0.85</v>
      </c>
      <c r="V39" s="176">
        <f>USD!V40</f>
        <v>0.7</v>
      </c>
      <c r="W39" s="176">
        <f>USD!W40</f>
        <v>0.9</v>
      </c>
      <c r="X39" s="176">
        <f>USD!X40</f>
        <v>0.95</v>
      </c>
      <c r="Y39" s="176">
        <f>USD!Y40</f>
        <v>1</v>
      </c>
      <c r="Z39" s="176">
        <f>USD!Z40</f>
        <v>0.9</v>
      </c>
      <c r="AA39" s="176">
        <f>USD!AA40</f>
        <v>0.85</v>
      </c>
    </row>
    <row r="40" spans="15:27" ht="12.75">
      <c r="O40" s="87" t="str">
        <f>USD!O41</f>
        <v>г. Вологда</v>
      </c>
      <c r="P40" s="88">
        <f>USD!P41</f>
        <v>120</v>
      </c>
      <c r="Q40" s="88">
        <f>USD!Q41</f>
        <v>100</v>
      </c>
      <c r="R40" s="176">
        <f>USD!R41</f>
        <v>0.9</v>
      </c>
      <c r="S40" s="176">
        <f>USD!S41</f>
        <v>0.85</v>
      </c>
      <c r="T40" s="176">
        <f>USD!T41</f>
        <v>0.7</v>
      </c>
      <c r="U40" s="176">
        <f>USD!U41</f>
        <v>0.85</v>
      </c>
      <c r="V40" s="176">
        <f>USD!V41</f>
        <v>0.7</v>
      </c>
      <c r="W40" s="176">
        <f>USD!W41</f>
        <v>0.9</v>
      </c>
      <c r="X40" s="176">
        <f>USD!X41</f>
        <v>0.95</v>
      </c>
      <c r="Y40" s="176">
        <f>USD!Y41</f>
        <v>1</v>
      </c>
      <c r="Z40" s="176">
        <f>USD!Z41</f>
        <v>0.9</v>
      </c>
      <c r="AA40" s="176">
        <f>USD!AA41</f>
        <v>0.85</v>
      </c>
    </row>
    <row r="41" spans="15:27" ht="12.75">
      <c r="O41" s="87" t="str">
        <f>USD!O42</f>
        <v>Воронежская область (включая г. Воронеж)</v>
      </c>
      <c r="P41" s="88">
        <f>USD!P42</f>
        <v>100</v>
      </c>
      <c r="Q41" s="88">
        <f>USD!Q42</f>
        <v>85</v>
      </c>
      <c r="R41" s="176">
        <f>USD!R42</f>
        <v>0.85</v>
      </c>
      <c r="S41" s="176">
        <f>USD!S42</f>
        <v>0.85</v>
      </c>
      <c r="T41" s="176">
        <f>USD!T42</f>
        <v>0.7</v>
      </c>
      <c r="U41" s="176">
        <f>USD!U42</f>
        <v>0.85</v>
      </c>
      <c r="V41" s="176">
        <f>USD!V42</f>
        <v>0.7</v>
      </c>
      <c r="W41" s="176">
        <f>USD!W42</f>
        <v>0.85</v>
      </c>
      <c r="X41" s="176">
        <f>USD!X42</f>
        <v>0.95</v>
      </c>
      <c r="Y41" s="176">
        <f>USD!Y42</f>
        <v>1</v>
      </c>
      <c r="Z41" s="176">
        <f>USD!Z42</f>
        <v>0.9</v>
      </c>
      <c r="AA41" s="176">
        <f>USD!AA42</f>
        <v>0.85</v>
      </c>
    </row>
    <row r="42" spans="15:27" ht="12.75">
      <c r="O42" s="87" t="str">
        <f>USD!O43</f>
        <v>Иркутская область (не включая г. Иркутск и г. Ангарск)</v>
      </c>
      <c r="P42" s="88">
        <f>USD!P43</f>
        <v>120</v>
      </c>
      <c r="Q42" s="88">
        <f>USD!Q43</f>
        <v>100</v>
      </c>
      <c r="R42" s="176">
        <f>USD!R43</f>
        <v>0.85</v>
      </c>
      <c r="S42" s="176">
        <f>USD!S43</f>
        <v>0.85</v>
      </c>
      <c r="T42" s="176">
        <f>USD!T43</f>
        <v>0.7</v>
      </c>
      <c r="U42" s="176">
        <f>USD!U43</f>
        <v>0.85</v>
      </c>
      <c r="V42" s="176">
        <f>USD!V43</f>
        <v>0.7</v>
      </c>
      <c r="W42" s="176">
        <f>USD!W43</f>
        <v>0.85</v>
      </c>
      <c r="X42" s="176">
        <f>USD!X43</f>
        <v>0.95</v>
      </c>
      <c r="Y42" s="176">
        <f>USD!Y43</f>
        <v>1</v>
      </c>
      <c r="Z42" s="176">
        <f>USD!Z43</f>
        <v>0.9</v>
      </c>
      <c r="AA42" s="176">
        <f>USD!AA43</f>
        <v>0.85</v>
      </c>
    </row>
    <row r="43" spans="15:27" ht="12.75">
      <c r="O43" s="87" t="str">
        <f>USD!O44</f>
        <v>г. Иркутск</v>
      </c>
      <c r="P43" s="88">
        <f>USD!P44</f>
        <v>120</v>
      </c>
      <c r="Q43" s="88">
        <f>USD!Q44</f>
        <v>100</v>
      </c>
      <c r="R43" s="176">
        <f>USD!R44</f>
        <v>0.9</v>
      </c>
      <c r="S43" s="176">
        <f>USD!S44</f>
        <v>0.85</v>
      </c>
      <c r="T43" s="176">
        <f>USD!T44</f>
        <v>0.7</v>
      </c>
      <c r="U43" s="176">
        <f>USD!U44</f>
        <v>0.85</v>
      </c>
      <c r="V43" s="176">
        <f>USD!V44</f>
        <v>0.7</v>
      </c>
      <c r="W43" s="176">
        <f>USD!W44</f>
        <v>0.9</v>
      </c>
      <c r="X43" s="176">
        <f>USD!X44</f>
        <v>0.95</v>
      </c>
      <c r="Y43" s="176">
        <f>USD!Y44</f>
        <v>1</v>
      </c>
      <c r="Z43" s="176">
        <f>USD!Z44</f>
        <v>0.9</v>
      </c>
      <c r="AA43" s="176">
        <f>USD!AA44</f>
        <v>0.85</v>
      </c>
    </row>
    <row r="44" spans="15:27" ht="12.75">
      <c r="O44" s="87" t="str">
        <f>USD!O45</f>
        <v>г. Ангарск</v>
      </c>
      <c r="P44" s="88">
        <f>USD!P45</f>
        <v>120</v>
      </c>
      <c r="Q44" s="88">
        <f>USD!Q45</f>
        <v>100</v>
      </c>
      <c r="R44" s="176">
        <f>USD!R45</f>
        <v>0.9</v>
      </c>
      <c r="S44" s="176">
        <f>USD!S45</f>
        <v>0.85</v>
      </c>
      <c r="T44" s="176">
        <f>USD!T45</f>
        <v>0.7</v>
      </c>
      <c r="U44" s="176">
        <f>USD!U45</f>
        <v>0.85</v>
      </c>
      <c r="V44" s="176">
        <f>USD!V45</f>
        <v>0.7</v>
      </c>
      <c r="W44" s="176">
        <f>USD!W45</f>
        <v>0.9</v>
      </c>
      <c r="X44" s="176">
        <f>USD!X45</f>
        <v>0.95</v>
      </c>
      <c r="Y44" s="176">
        <f>USD!Y45</f>
        <v>1</v>
      </c>
      <c r="Z44" s="176">
        <f>USD!Z45</f>
        <v>0.9</v>
      </c>
      <c r="AA44" s="176">
        <f>USD!AA45</f>
        <v>0.85</v>
      </c>
    </row>
    <row r="45" spans="15:27" ht="12.75">
      <c r="O45" s="87" t="str">
        <f>USD!O46</f>
        <v>Калининградская область (не включая г. Калининград)</v>
      </c>
      <c r="P45" s="88">
        <f>USD!P46</f>
        <v>100</v>
      </c>
      <c r="Q45" s="88">
        <f>USD!Q46</f>
        <v>85</v>
      </c>
      <c r="R45" s="176">
        <f>USD!R46</f>
        <v>0.85</v>
      </c>
      <c r="S45" s="176">
        <f>USD!S46</f>
        <v>0.85</v>
      </c>
      <c r="T45" s="176">
        <f>USD!T46</f>
        <v>0.7</v>
      </c>
      <c r="U45" s="176">
        <f>USD!U46</f>
        <v>0.85</v>
      </c>
      <c r="V45" s="176">
        <f>USD!V46</f>
        <v>0.7</v>
      </c>
      <c r="W45" s="176">
        <f>USD!W46</f>
        <v>0.85</v>
      </c>
      <c r="X45" s="176">
        <f>USD!X46</f>
        <v>0.95</v>
      </c>
      <c r="Y45" s="176">
        <f>USD!Y46</f>
        <v>1</v>
      </c>
      <c r="Z45" s="176">
        <f>USD!Z46</f>
        <v>0.9</v>
      </c>
      <c r="AA45" s="176">
        <f>USD!AA46</f>
        <v>0.85</v>
      </c>
    </row>
    <row r="46" spans="15:27" ht="12.75">
      <c r="O46" s="87" t="str">
        <f>USD!O47</f>
        <v>г. Калининград</v>
      </c>
      <c r="P46" s="88">
        <f>USD!P47</f>
        <v>100</v>
      </c>
      <c r="Q46" s="88">
        <f>USD!Q47</f>
        <v>85</v>
      </c>
      <c r="R46" s="176">
        <f>USD!R47</f>
        <v>0.9</v>
      </c>
      <c r="S46" s="176">
        <f>USD!S47</f>
        <v>0.85</v>
      </c>
      <c r="T46" s="176">
        <f>USD!T47</f>
        <v>0.7</v>
      </c>
      <c r="U46" s="176">
        <f>USD!U47</f>
        <v>0.85</v>
      </c>
      <c r="V46" s="176">
        <f>USD!V47</f>
        <v>0.7</v>
      </c>
      <c r="W46" s="176">
        <f>USD!W47</f>
        <v>0.9</v>
      </c>
      <c r="X46" s="176">
        <f>USD!X47</f>
        <v>0.95</v>
      </c>
      <c r="Y46" s="176">
        <f>USD!Y47</f>
        <v>1</v>
      </c>
      <c r="Z46" s="176">
        <f>USD!Z47</f>
        <v>0.9</v>
      </c>
      <c r="AA46" s="176">
        <f>USD!AA47</f>
        <v>0.85</v>
      </c>
    </row>
    <row r="47" spans="15:27" ht="12.75">
      <c r="O47" s="87" t="str">
        <f>USD!O48</f>
        <v>Кемеровская область (не включая г. Кемерово)</v>
      </c>
      <c r="P47" s="88">
        <f>USD!P48</f>
        <v>100</v>
      </c>
      <c r="Q47" s="88">
        <f>USD!Q48</f>
        <v>85</v>
      </c>
      <c r="R47" s="176">
        <f>USD!R48</f>
        <v>0.85</v>
      </c>
      <c r="S47" s="176">
        <f>USD!S48</f>
        <v>0.85</v>
      </c>
      <c r="T47" s="176">
        <f>USD!T48</f>
        <v>0.7</v>
      </c>
      <c r="U47" s="176">
        <f>USD!U48</f>
        <v>0.85</v>
      </c>
      <c r="V47" s="176">
        <f>USD!V48</f>
        <v>0.7</v>
      </c>
      <c r="W47" s="176">
        <f>USD!W48</f>
        <v>0.85</v>
      </c>
      <c r="X47" s="176">
        <f>USD!X48</f>
        <v>0.95</v>
      </c>
      <c r="Y47" s="176">
        <f>USD!Y48</f>
        <v>1</v>
      </c>
      <c r="Z47" s="176">
        <f>USD!Z48</f>
        <v>0.9</v>
      </c>
      <c r="AA47" s="176">
        <f>USD!AA48</f>
        <v>0.85</v>
      </c>
    </row>
    <row r="48" spans="15:27" ht="12.75">
      <c r="O48" s="87" t="str">
        <f>USD!O49</f>
        <v>г. Кемерово</v>
      </c>
      <c r="P48" s="88">
        <f>USD!P49</f>
        <v>100</v>
      </c>
      <c r="Q48" s="88">
        <f>USD!Q49</f>
        <v>85</v>
      </c>
      <c r="R48" s="176">
        <f>USD!R49</f>
        <v>0.9</v>
      </c>
      <c r="S48" s="176">
        <f>USD!S49</f>
        <v>0.85</v>
      </c>
      <c r="T48" s="176">
        <f>USD!T49</f>
        <v>0.7</v>
      </c>
      <c r="U48" s="176">
        <f>USD!U49</f>
        <v>0.85</v>
      </c>
      <c r="V48" s="176">
        <f>USD!V49</f>
        <v>0.7</v>
      </c>
      <c r="W48" s="176">
        <f>USD!W49</f>
        <v>0.9</v>
      </c>
      <c r="X48" s="176">
        <f>USD!X49</f>
        <v>0.95</v>
      </c>
      <c r="Y48" s="176">
        <f>USD!Y49</f>
        <v>1</v>
      </c>
      <c r="Z48" s="176">
        <f>USD!Z49</f>
        <v>0.9</v>
      </c>
      <c r="AA48" s="176">
        <f>USD!AA49</f>
        <v>0.85</v>
      </c>
    </row>
    <row r="49" spans="15:27" ht="12.75">
      <c r="O49" s="87" t="str">
        <f>USD!O50</f>
        <v>Костромская область (не включая г. Кострома)</v>
      </c>
      <c r="P49" s="88">
        <f>USD!P50</f>
        <v>100</v>
      </c>
      <c r="Q49" s="88">
        <f>USD!Q50</f>
        <v>85</v>
      </c>
      <c r="R49" s="176">
        <f>USD!R50</f>
        <v>0.85</v>
      </c>
      <c r="S49" s="176">
        <f>USD!S50</f>
        <v>0.85</v>
      </c>
      <c r="T49" s="176">
        <f>USD!T50</f>
        <v>0.7</v>
      </c>
      <c r="U49" s="176">
        <f>USD!U50</f>
        <v>0.85</v>
      </c>
      <c r="V49" s="176">
        <f>USD!V50</f>
        <v>0.7</v>
      </c>
      <c r="W49" s="176">
        <f>USD!W50</f>
        <v>0.85</v>
      </c>
      <c r="X49" s="176">
        <f>USD!X50</f>
        <v>0.95</v>
      </c>
      <c r="Y49" s="176">
        <f>USD!Y50</f>
        <v>1</v>
      </c>
      <c r="Z49" s="176">
        <f>USD!Z50</f>
        <v>0.9</v>
      </c>
      <c r="AA49" s="176">
        <f>USD!AA50</f>
        <v>0.85</v>
      </c>
    </row>
    <row r="50" spans="15:27" ht="12.75">
      <c r="O50" s="87" t="str">
        <f>USD!O51</f>
        <v>г. Кострома</v>
      </c>
      <c r="P50" s="88">
        <f>USD!P51</f>
        <v>100</v>
      </c>
      <c r="Q50" s="88">
        <f>USD!Q51</f>
        <v>85</v>
      </c>
      <c r="R50" s="176">
        <f>USD!R51</f>
        <v>0.9</v>
      </c>
      <c r="S50" s="176">
        <f>USD!S51</f>
        <v>0.85</v>
      </c>
      <c r="T50" s="176">
        <f>USD!T51</f>
        <v>0.7</v>
      </c>
      <c r="U50" s="176">
        <f>USD!U51</f>
        <v>0.85</v>
      </c>
      <c r="V50" s="176">
        <f>USD!V51</f>
        <v>0.7</v>
      </c>
      <c r="W50" s="176">
        <f>USD!W51</f>
        <v>0.9</v>
      </c>
      <c r="X50" s="176">
        <f>USD!X51</f>
        <v>0.95</v>
      </c>
      <c r="Y50" s="176">
        <f>USD!Y51</f>
        <v>1</v>
      </c>
      <c r="Z50" s="176">
        <f>USD!Z51</f>
        <v>0.9</v>
      </c>
      <c r="AA50" s="176">
        <f>USD!AA51</f>
        <v>0.85</v>
      </c>
    </row>
    <row r="51" spans="15:27" ht="12.75">
      <c r="O51" s="87" t="str">
        <f>USD!O52</f>
        <v>Краснодарский край (не включая г. Краснодар и г. Сочи)</v>
      </c>
      <c r="P51" s="88">
        <f>USD!P52</f>
        <v>100</v>
      </c>
      <c r="Q51" s="88">
        <f>USD!Q52</f>
        <v>85</v>
      </c>
      <c r="R51" s="176">
        <f>USD!R52</f>
        <v>0.85</v>
      </c>
      <c r="S51" s="176">
        <f>USD!S52</f>
        <v>0.85</v>
      </c>
      <c r="T51" s="176">
        <f>USD!T52</f>
        <v>0.7</v>
      </c>
      <c r="U51" s="176">
        <f>USD!U52</f>
        <v>0.85</v>
      </c>
      <c r="V51" s="176">
        <f>USD!V52</f>
        <v>0.7</v>
      </c>
      <c r="W51" s="176">
        <f>USD!W52</f>
        <v>0.85</v>
      </c>
      <c r="X51" s="176">
        <f>USD!X52</f>
        <v>0.95</v>
      </c>
      <c r="Y51" s="176">
        <f>USD!Y52</f>
        <v>1</v>
      </c>
      <c r="Z51" s="176">
        <f>USD!Z52</f>
        <v>0.9</v>
      </c>
      <c r="AA51" s="176">
        <f>USD!AA52</f>
        <v>0.85</v>
      </c>
    </row>
    <row r="52" spans="15:27" ht="12.75">
      <c r="O52" s="87" t="str">
        <f>USD!O53</f>
        <v>г. Краснодар</v>
      </c>
      <c r="P52" s="88">
        <f>USD!P53</f>
        <v>100</v>
      </c>
      <c r="Q52" s="88">
        <f>USD!Q53</f>
        <v>85</v>
      </c>
      <c r="R52" s="176">
        <f>USD!R53</f>
        <v>0.9</v>
      </c>
      <c r="S52" s="176">
        <f>USD!S53</f>
        <v>0.85</v>
      </c>
      <c r="T52" s="176">
        <f>USD!T53</f>
        <v>0.7</v>
      </c>
      <c r="U52" s="176">
        <f>USD!U53</f>
        <v>0.85</v>
      </c>
      <c r="V52" s="176">
        <f>USD!V53</f>
        <v>0.7</v>
      </c>
      <c r="W52" s="176">
        <f>USD!W53</f>
        <v>0.9</v>
      </c>
      <c r="X52" s="176">
        <f>USD!X53</f>
        <v>0.95</v>
      </c>
      <c r="Y52" s="176">
        <f>USD!Y53</f>
        <v>1</v>
      </c>
      <c r="Z52" s="176">
        <f>USD!Z53</f>
        <v>0.9</v>
      </c>
      <c r="AA52" s="176">
        <f>USD!AA53</f>
        <v>0.85</v>
      </c>
    </row>
    <row r="53" spans="15:27" ht="12.75">
      <c r="O53" s="87" t="str">
        <f>USD!O54</f>
        <v>г. Сочи</v>
      </c>
      <c r="P53" s="88">
        <f>USD!P54</f>
        <v>100</v>
      </c>
      <c r="Q53" s="88">
        <f>USD!Q54</f>
        <v>85</v>
      </c>
      <c r="R53" s="176">
        <f>USD!R54</f>
        <v>0.9</v>
      </c>
      <c r="S53" s="176">
        <f>USD!S54</f>
        <v>0.85</v>
      </c>
      <c r="T53" s="176">
        <f>USD!T54</f>
        <v>0.7</v>
      </c>
      <c r="U53" s="176">
        <f>USD!U54</f>
        <v>0.85</v>
      </c>
      <c r="V53" s="176">
        <f>USD!V54</f>
        <v>0.7</v>
      </c>
      <c r="W53" s="176">
        <f>USD!W54</f>
        <v>0.9</v>
      </c>
      <c r="X53" s="176">
        <f>USD!X54</f>
        <v>0.95</v>
      </c>
      <c r="Y53" s="176">
        <f>USD!Y54</f>
        <v>1</v>
      </c>
      <c r="Z53" s="176">
        <f>USD!Z54</f>
        <v>0.9</v>
      </c>
      <c r="AA53" s="176">
        <f>USD!AA54</f>
        <v>0.85</v>
      </c>
    </row>
    <row r="54" spans="15:27" ht="12.75">
      <c r="O54" s="87" t="str">
        <f>USD!O55</f>
        <v>Красноярский край (не включая г. Красноярск)</v>
      </c>
      <c r="P54" s="88">
        <f>USD!P55</f>
        <v>100</v>
      </c>
      <c r="Q54" s="88">
        <f>USD!Q55</f>
        <v>85</v>
      </c>
      <c r="R54" s="176">
        <f>USD!R55</f>
        <v>0.85</v>
      </c>
      <c r="S54" s="176">
        <f>USD!S55</f>
        <v>0.85</v>
      </c>
      <c r="T54" s="176">
        <f>USD!T55</f>
        <v>0.7</v>
      </c>
      <c r="U54" s="176">
        <f>USD!U55</f>
        <v>0.85</v>
      </c>
      <c r="V54" s="176">
        <f>USD!V55</f>
        <v>0.7</v>
      </c>
      <c r="W54" s="176">
        <f>USD!W55</f>
        <v>0.85</v>
      </c>
      <c r="X54" s="176">
        <f>USD!X55</f>
        <v>0.95</v>
      </c>
      <c r="Y54" s="176">
        <f>USD!Y55</f>
        <v>1</v>
      </c>
      <c r="Z54" s="176">
        <f>USD!Z55</f>
        <v>0.9</v>
      </c>
      <c r="AA54" s="176">
        <f>USD!AA55</f>
        <v>0.85</v>
      </c>
    </row>
    <row r="55" spans="15:27" ht="12.75">
      <c r="O55" s="87" t="str">
        <f>USD!O56</f>
        <v>г. Красноярск</v>
      </c>
      <c r="P55" s="88">
        <f>USD!P56</f>
        <v>100</v>
      </c>
      <c r="Q55" s="88">
        <f>USD!Q56</f>
        <v>85</v>
      </c>
      <c r="R55" s="176">
        <f>USD!R56</f>
        <v>1</v>
      </c>
      <c r="S55" s="176">
        <f>USD!S56</f>
        <v>0.95</v>
      </c>
      <c r="T55" s="176">
        <f>USD!T56</f>
        <v>0.9</v>
      </c>
      <c r="U55" s="176">
        <f>USD!U56</f>
        <v>0.95</v>
      </c>
      <c r="V55" s="176">
        <f>USD!V56</f>
        <v>0.95</v>
      </c>
      <c r="W55" s="176">
        <f>USD!W56</f>
        <v>1</v>
      </c>
      <c r="X55" s="176">
        <f>USD!X56</f>
        <v>0.95</v>
      </c>
      <c r="Y55" s="176">
        <f>USD!Y56</f>
        <v>1</v>
      </c>
      <c r="Z55" s="176">
        <f>USD!Z56</f>
        <v>0.9</v>
      </c>
      <c r="AA55" s="176">
        <f>USD!AA56</f>
        <v>0.85</v>
      </c>
    </row>
    <row r="56" spans="15:27" ht="12.75">
      <c r="O56" s="87" t="str">
        <f>USD!O57</f>
        <v>Курская область (не включая г. Курск)</v>
      </c>
      <c r="P56" s="88">
        <f>USD!P57</f>
        <v>100</v>
      </c>
      <c r="Q56" s="88">
        <f>USD!Q57</f>
        <v>85</v>
      </c>
      <c r="R56" s="176">
        <f>USD!R57</f>
        <v>0.85</v>
      </c>
      <c r="S56" s="176">
        <f>USD!S57</f>
        <v>0.85</v>
      </c>
      <c r="T56" s="176">
        <f>USD!T57</f>
        <v>0.7</v>
      </c>
      <c r="U56" s="176">
        <f>USD!U57</f>
        <v>0.85</v>
      </c>
      <c r="V56" s="176">
        <f>USD!V57</f>
        <v>0.7</v>
      </c>
      <c r="W56" s="176">
        <f>USD!W57</f>
        <v>0.85</v>
      </c>
      <c r="X56" s="176">
        <f>USD!X57</f>
        <v>0.95</v>
      </c>
      <c r="Y56" s="176">
        <f>USD!Y57</f>
        <v>1</v>
      </c>
      <c r="Z56" s="176">
        <f>USD!Z57</f>
        <v>0.9</v>
      </c>
      <c r="AA56" s="176">
        <f>USD!AA57</f>
        <v>0.85</v>
      </c>
    </row>
    <row r="57" spans="15:27" ht="12.75">
      <c r="O57" s="87" t="str">
        <f>USD!O58</f>
        <v>г. Курск</v>
      </c>
      <c r="P57" s="88">
        <f>USD!P58</f>
        <v>100</v>
      </c>
      <c r="Q57" s="88">
        <f>USD!Q58</f>
        <v>85</v>
      </c>
      <c r="R57" s="176">
        <f>USD!R58</f>
        <v>0.9</v>
      </c>
      <c r="S57" s="176">
        <f>USD!S58</f>
        <v>0.85</v>
      </c>
      <c r="T57" s="176">
        <f>USD!T58</f>
        <v>0.7</v>
      </c>
      <c r="U57" s="176">
        <f>USD!U58</f>
        <v>0.85</v>
      </c>
      <c r="V57" s="176">
        <f>USD!V58</f>
        <v>0.7</v>
      </c>
      <c r="W57" s="176">
        <f>USD!W58</f>
        <v>0.9</v>
      </c>
      <c r="X57" s="176">
        <f>USD!X58</f>
        <v>0.95</v>
      </c>
      <c r="Y57" s="176">
        <f>USD!Y58</f>
        <v>1</v>
      </c>
      <c r="Z57" s="176">
        <f>USD!Z58</f>
        <v>0.9</v>
      </c>
      <c r="AA57" s="176">
        <f>USD!AA58</f>
        <v>0.85</v>
      </c>
    </row>
    <row r="58" spans="15:27" ht="12.75">
      <c r="O58" s="87" t="str">
        <f>USD!O59</f>
        <v>Ленинградская область (включая г. Санкт-Петербург)</v>
      </c>
      <c r="P58" s="88">
        <f>USD!P59</f>
        <v>120</v>
      </c>
      <c r="Q58" s="88">
        <f>USD!Q59</f>
        <v>100</v>
      </c>
      <c r="R58" s="176">
        <f>USD!R59</f>
        <v>1</v>
      </c>
      <c r="S58" s="176">
        <f>USD!S59</f>
        <v>0.95</v>
      </c>
      <c r="T58" s="176">
        <f>USD!T59</f>
        <v>0.9</v>
      </c>
      <c r="U58" s="176">
        <f>USD!U59</f>
        <v>0.95</v>
      </c>
      <c r="V58" s="176">
        <f>USD!V59</f>
        <v>0.95</v>
      </c>
      <c r="W58" s="176">
        <f>USD!W59</f>
        <v>1</v>
      </c>
      <c r="X58" s="176">
        <f>USD!X59</f>
        <v>0.95</v>
      </c>
      <c r="Y58" s="176">
        <f>USD!Y59</f>
        <v>1</v>
      </c>
      <c r="Z58" s="176">
        <f>USD!Z59</f>
        <v>0.9</v>
      </c>
      <c r="AA58" s="176">
        <f>USD!AA59</f>
        <v>0.85</v>
      </c>
    </row>
    <row r="59" spans="15:27" ht="12.75">
      <c r="O59" s="87" t="str">
        <f>USD!O60</f>
        <v>Липецкая область (не включая г. Липецк)</v>
      </c>
      <c r="P59" s="88">
        <f>USD!P60</f>
        <v>100</v>
      </c>
      <c r="Q59" s="88">
        <f>USD!Q60</f>
        <v>85</v>
      </c>
      <c r="R59" s="176">
        <f>USD!R60</f>
        <v>0.85</v>
      </c>
      <c r="S59" s="176">
        <f>USD!S60</f>
        <v>0.85</v>
      </c>
      <c r="T59" s="176">
        <f>USD!T60</f>
        <v>0.7</v>
      </c>
      <c r="U59" s="176">
        <f>USD!U60</f>
        <v>0.85</v>
      </c>
      <c r="V59" s="176">
        <f>USD!V60</f>
        <v>0.7</v>
      </c>
      <c r="W59" s="176">
        <f>USD!W60</f>
        <v>0.85</v>
      </c>
      <c r="X59" s="176">
        <f>USD!X60</f>
        <v>0.95</v>
      </c>
      <c r="Y59" s="176">
        <f>USD!Y60</f>
        <v>1</v>
      </c>
      <c r="Z59" s="176">
        <f>USD!Z60</f>
        <v>0.9</v>
      </c>
      <c r="AA59" s="176">
        <f>USD!AA60</f>
        <v>0.85</v>
      </c>
    </row>
    <row r="60" spans="15:27" ht="12.75">
      <c r="O60" s="87" t="str">
        <f>USD!O61</f>
        <v>г. Липецк</v>
      </c>
      <c r="P60" s="88">
        <f>USD!P61</f>
        <v>100</v>
      </c>
      <c r="Q60" s="88">
        <f>USD!Q61</f>
        <v>85</v>
      </c>
      <c r="R60" s="176">
        <f>USD!R61</f>
        <v>0.9</v>
      </c>
      <c r="S60" s="176">
        <f>USD!S61</f>
        <v>0.85</v>
      </c>
      <c r="T60" s="176">
        <f>USD!T61</f>
        <v>0.7</v>
      </c>
      <c r="U60" s="176">
        <f>USD!U61</f>
        <v>0.85</v>
      </c>
      <c r="V60" s="176">
        <f>USD!V61</f>
        <v>0.7</v>
      </c>
      <c r="W60" s="176">
        <f>USD!W61</f>
        <v>0.9</v>
      </c>
      <c r="X60" s="176">
        <f>USD!X61</f>
        <v>0.95</v>
      </c>
      <c r="Y60" s="176">
        <f>USD!Y61</f>
        <v>1</v>
      </c>
      <c r="Z60" s="176">
        <f>USD!Z61</f>
        <v>0.9</v>
      </c>
      <c r="AA60" s="176">
        <f>USD!AA61</f>
        <v>0.85</v>
      </c>
    </row>
    <row r="61" spans="15:27" ht="12.75">
      <c r="O61" s="87" t="str">
        <f>USD!O62</f>
        <v>Нижегородская область (не включая г. Нижний Новгород)</v>
      </c>
      <c r="P61" s="88">
        <f>USD!P62</f>
        <v>100</v>
      </c>
      <c r="Q61" s="88">
        <f>USD!Q62</f>
        <v>85</v>
      </c>
      <c r="R61" s="176">
        <f>USD!R62</f>
        <v>0.85</v>
      </c>
      <c r="S61" s="176">
        <f>USD!S62</f>
        <v>0.85</v>
      </c>
      <c r="T61" s="176">
        <f>USD!T62</f>
        <v>0.7</v>
      </c>
      <c r="U61" s="176">
        <f>USD!U62</f>
        <v>0.85</v>
      </c>
      <c r="V61" s="176">
        <f>USD!V62</f>
        <v>0.7</v>
      </c>
      <c r="W61" s="176">
        <f>USD!W62</f>
        <v>0.85</v>
      </c>
      <c r="X61" s="176">
        <f>USD!X62</f>
        <v>0.95</v>
      </c>
      <c r="Y61" s="176">
        <f>USD!Y62</f>
        <v>1</v>
      </c>
      <c r="Z61" s="176">
        <f>USD!Z62</f>
        <v>0.9</v>
      </c>
      <c r="AA61" s="176">
        <f>USD!AA62</f>
        <v>0.85</v>
      </c>
    </row>
    <row r="62" spans="15:27" ht="12.75">
      <c r="O62" s="87" t="str">
        <f>USD!O63</f>
        <v>г. Нижний Новгород</v>
      </c>
      <c r="P62" s="88">
        <f>USD!P63</f>
        <v>100</v>
      </c>
      <c r="Q62" s="88">
        <f>USD!Q63</f>
        <v>85</v>
      </c>
      <c r="R62" s="176">
        <f>USD!R63</f>
        <v>1</v>
      </c>
      <c r="S62" s="176">
        <f>USD!S63</f>
        <v>0.95</v>
      </c>
      <c r="T62" s="176">
        <f>USD!T63</f>
        <v>0.9</v>
      </c>
      <c r="U62" s="176">
        <f>USD!U63</f>
        <v>0.95</v>
      </c>
      <c r="V62" s="176">
        <f>USD!V63</f>
        <v>0.95</v>
      </c>
      <c r="W62" s="176">
        <f>USD!W63</f>
        <v>1</v>
      </c>
      <c r="X62" s="176">
        <f>USD!X63</f>
        <v>0.95</v>
      </c>
      <c r="Y62" s="176">
        <f>USD!Y63</f>
        <v>1</v>
      </c>
      <c r="Z62" s="176">
        <f>USD!Z63</f>
        <v>0.9</v>
      </c>
      <c r="AA62" s="176">
        <f>USD!AA63</f>
        <v>0.85</v>
      </c>
    </row>
    <row r="63" spans="15:27" ht="12.75">
      <c r="O63" s="87" t="str">
        <f>USD!O64</f>
        <v>Новосибирская область (не включая г. Новосибирск)</v>
      </c>
      <c r="P63" s="88">
        <f>USD!P64</f>
        <v>100</v>
      </c>
      <c r="Q63" s="88">
        <f>USD!Q64</f>
        <v>85</v>
      </c>
      <c r="R63" s="176">
        <f>USD!R64</f>
        <v>0.85</v>
      </c>
      <c r="S63" s="176">
        <f>USD!S64</f>
        <v>0.85</v>
      </c>
      <c r="T63" s="176">
        <f>USD!T64</f>
        <v>0.7</v>
      </c>
      <c r="U63" s="176">
        <f>USD!U64</f>
        <v>0.85</v>
      </c>
      <c r="V63" s="176">
        <f>USD!V64</f>
        <v>0.7</v>
      </c>
      <c r="W63" s="176">
        <f>USD!W64</f>
        <v>0.85</v>
      </c>
      <c r="X63" s="176">
        <f>USD!X64</f>
        <v>0.95</v>
      </c>
      <c r="Y63" s="176">
        <f>USD!Y64</f>
        <v>1</v>
      </c>
      <c r="Z63" s="176">
        <f>USD!Z64</f>
        <v>0.9</v>
      </c>
      <c r="AA63" s="176">
        <f>USD!AA64</f>
        <v>0.85</v>
      </c>
    </row>
    <row r="64" spans="15:27" ht="12.75">
      <c r="O64" s="87" t="str">
        <f>USD!O65</f>
        <v>г. Новосибирск</v>
      </c>
      <c r="P64" s="88">
        <f>USD!P65</f>
        <v>100</v>
      </c>
      <c r="Q64" s="88">
        <f>USD!Q65</f>
        <v>85</v>
      </c>
      <c r="R64" s="176">
        <f>USD!R65</f>
        <v>1</v>
      </c>
      <c r="S64" s="176">
        <f>USD!S65</f>
        <v>0.95</v>
      </c>
      <c r="T64" s="176">
        <f>USD!T65</f>
        <v>0.9</v>
      </c>
      <c r="U64" s="176">
        <f>USD!U65</f>
        <v>0.95</v>
      </c>
      <c r="V64" s="176">
        <f>USD!V65</f>
        <v>0.95</v>
      </c>
      <c r="W64" s="176">
        <f>USD!W65</f>
        <v>1</v>
      </c>
      <c r="X64" s="176">
        <f>USD!X65</f>
        <v>0.95</v>
      </c>
      <c r="Y64" s="176">
        <f>USD!Y65</f>
        <v>1</v>
      </c>
      <c r="Z64" s="176">
        <f>USD!Z65</f>
        <v>0.9</v>
      </c>
      <c r="AA64" s="176">
        <f>USD!AA65</f>
        <v>0.85</v>
      </c>
    </row>
    <row r="65" spans="15:27" ht="12.75">
      <c r="O65" s="87" t="str">
        <f>USD!O66</f>
        <v>Омская область (не включая г. Омск)</v>
      </c>
      <c r="P65" s="88">
        <f>USD!P66</f>
        <v>100</v>
      </c>
      <c r="Q65" s="88">
        <f>USD!Q66</f>
        <v>85</v>
      </c>
      <c r="R65" s="176">
        <f>USD!R66</f>
        <v>0.85</v>
      </c>
      <c r="S65" s="176">
        <f>USD!S66</f>
        <v>0.85</v>
      </c>
      <c r="T65" s="176">
        <f>USD!T66</f>
        <v>0.7</v>
      </c>
      <c r="U65" s="176">
        <f>USD!U66</f>
        <v>0.85</v>
      </c>
      <c r="V65" s="176">
        <f>USD!V66</f>
        <v>0.7</v>
      </c>
      <c r="W65" s="176">
        <f>USD!W66</f>
        <v>0.85</v>
      </c>
      <c r="X65" s="176">
        <f>USD!X66</f>
        <v>0.95</v>
      </c>
      <c r="Y65" s="176">
        <f>USD!Y66</f>
        <v>1</v>
      </c>
      <c r="Z65" s="176">
        <f>USD!Z66</f>
        <v>0.9</v>
      </c>
      <c r="AA65" s="176">
        <f>USD!AA66</f>
        <v>0.85</v>
      </c>
    </row>
    <row r="66" spans="15:27" ht="12.75">
      <c r="O66" s="87" t="str">
        <f>USD!O67</f>
        <v>г. Омск</v>
      </c>
      <c r="P66" s="88">
        <f>USD!P67</f>
        <v>100</v>
      </c>
      <c r="Q66" s="88">
        <f>USD!Q67</f>
        <v>85</v>
      </c>
      <c r="R66" s="176">
        <f>USD!R67</f>
        <v>0.9</v>
      </c>
      <c r="S66" s="176">
        <f>USD!S67</f>
        <v>0.85</v>
      </c>
      <c r="T66" s="176">
        <f>USD!T67</f>
        <v>0.7</v>
      </c>
      <c r="U66" s="176">
        <f>USD!U67</f>
        <v>0.85</v>
      </c>
      <c r="V66" s="176">
        <f>USD!V67</f>
        <v>0.7</v>
      </c>
      <c r="W66" s="176">
        <f>USD!W67</f>
        <v>0.9</v>
      </c>
      <c r="X66" s="176">
        <f>USD!X67</f>
        <v>0.95</v>
      </c>
      <c r="Y66" s="176">
        <f>USD!Y67</f>
        <v>1</v>
      </c>
      <c r="Z66" s="176">
        <f>USD!Z67</f>
        <v>0.9</v>
      </c>
      <c r="AA66" s="176">
        <f>USD!AA67</f>
        <v>0.85</v>
      </c>
    </row>
    <row r="67" spans="15:27" ht="12.75">
      <c r="O67" s="87" t="str">
        <f>USD!O68</f>
        <v>Пермский край (не включая г. Пермь)</v>
      </c>
      <c r="P67" s="88">
        <f>USD!P68</f>
        <v>100</v>
      </c>
      <c r="Q67" s="88">
        <f>USD!Q68</f>
        <v>85</v>
      </c>
      <c r="R67" s="176">
        <f>USD!R68</f>
        <v>0.85</v>
      </c>
      <c r="S67" s="176">
        <f>USD!S68</f>
        <v>0.85</v>
      </c>
      <c r="T67" s="176">
        <f>USD!T68</f>
        <v>0.7</v>
      </c>
      <c r="U67" s="176">
        <f>USD!U68</f>
        <v>0.85</v>
      </c>
      <c r="V67" s="176">
        <f>USD!V68</f>
        <v>0.7</v>
      </c>
      <c r="W67" s="176">
        <f>USD!W68</f>
        <v>0.85</v>
      </c>
      <c r="X67" s="176">
        <f>USD!X68</f>
        <v>0.95</v>
      </c>
      <c r="Y67" s="176">
        <f>USD!Y68</f>
        <v>1</v>
      </c>
      <c r="Z67" s="176">
        <f>USD!Z68</f>
        <v>0.9</v>
      </c>
      <c r="AA67" s="176">
        <f>USD!AA68</f>
        <v>0.85</v>
      </c>
    </row>
    <row r="68" spans="15:27" ht="12.75">
      <c r="O68" s="87" t="str">
        <f>USD!O69</f>
        <v>г. Пермь</v>
      </c>
      <c r="P68" s="88">
        <f>USD!P69</f>
        <v>100</v>
      </c>
      <c r="Q68" s="88">
        <f>USD!Q69</f>
        <v>85</v>
      </c>
      <c r="R68" s="176">
        <f>USD!R69</f>
        <v>0.9</v>
      </c>
      <c r="S68" s="176">
        <f>USD!S69</f>
        <v>0.85</v>
      </c>
      <c r="T68" s="176">
        <f>USD!T69</f>
        <v>0.7</v>
      </c>
      <c r="U68" s="176">
        <f>USD!U69</f>
        <v>0.85</v>
      </c>
      <c r="V68" s="176">
        <f>USD!V69</f>
        <v>0.7</v>
      </c>
      <c r="W68" s="176">
        <f>USD!W69</f>
        <v>0.9</v>
      </c>
      <c r="X68" s="176">
        <f>USD!X69</f>
        <v>0.95</v>
      </c>
      <c r="Y68" s="176">
        <f>USD!Y69</f>
        <v>1</v>
      </c>
      <c r="Z68" s="176">
        <f>USD!Z69</f>
        <v>0.9</v>
      </c>
      <c r="AA68" s="176">
        <f>USD!AA69</f>
        <v>0.85</v>
      </c>
    </row>
    <row r="69" spans="15:27" ht="12.75">
      <c r="O69" s="87" t="str">
        <f>USD!O70</f>
        <v>Приморский край (включая г. Владивосток)</v>
      </c>
      <c r="P69" s="88">
        <f>USD!P70</f>
        <v>120</v>
      </c>
      <c r="Q69" s="88">
        <f>USD!Q70</f>
        <v>100</v>
      </c>
      <c r="R69" s="176">
        <f>USD!R70</f>
        <v>0.85</v>
      </c>
      <c r="S69" s="176">
        <f>USD!S70</f>
        <v>0.85</v>
      </c>
      <c r="T69" s="176">
        <f>USD!T70</f>
        <v>0.7</v>
      </c>
      <c r="U69" s="176">
        <f>USD!U70</f>
        <v>0.85</v>
      </c>
      <c r="V69" s="176">
        <f>USD!V70</f>
        <v>0.7</v>
      </c>
      <c r="W69" s="176">
        <f>USD!W70</f>
        <v>0.85</v>
      </c>
      <c r="X69" s="176">
        <f>USD!X70</f>
        <v>0.95</v>
      </c>
      <c r="Y69" s="176">
        <f>USD!Y70</f>
        <v>1</v>
      </c>
      <c r="Z69" s="176">
        <f>USD!Z70</f>
        <v>0.9</v>
      </c>
      <c r="AA69" s="176">
        <f>USD!AA70</f>
        <v>0.85</v>
      </c>
    </row>
    <row r="70" spans="15:27" ht="12.75">
      <c r="O70" s="87" t="str">
        <f>USD!O71</f>
        <v>Республика Коми (не включая г. Сыктывкар)</v>
      </c>
      <c r="P70" s="88">
        <f>USD!P71</f>
        <v>100</v>
      </c>
      <c r="Q70" s="88">
        <f>USD!Q71</f>
        <v>85</v>
      </c>
      <c r="R70" s="176">
        <f>USD!R71</f>
        <v>0.85</v>
      </c>
      <c r="S70" s="176">
        <f>USD!S71</f>
        <v>0.85</v>
      </c>
      <c r="T70" s="176">
        <f>USD!T71</f>
        <v>0.7</v>
      </c>
      <c r="U70" s="176">
        <f>USD!U71</f>
        <v>0.85</v>
      </c>
      <c r="V70" s="176">
        <f>USD!V71</f>
        <v>0.7</v>
      </c>
      <c r="W70" s="176">
        <f>USD!W71</f>
        <v>0.85</v>
      </c>
      <c r="X70" s="176">
        <f>USD!X71</f>
        <v>0.95</v>
      </c>
      <c r="Y70" s="176">
        <f>USD!Y71</f>
        <v>1</v>
      </c>
      <c r="Z70" s="176">
        <f>USD!Z71</f>
        <v>0.9</v>
      </c>
      <c r="AA70" s="176">
        <f>USD!AA71</f>
        <v>0.85</v>
      </c>
    </row>
    <row r="71" spans="15:27" ht="12.75">
      <c r="O71" s="87" t="str">
        <f>USD!O72</f>
        <v>г. Сыктывкар</v>
      </c>
      <c r="P71" s="88">
        <f>USD!P72</f>
        <v>100</v>
      </c>
      <c r="Q71" s="88">
        <f>USD!Q72</f>
        <v>85</v>
      </c>
      <c r="R71" s="176">
        <f>USD!R72</f>
        <v>0.9</v>
      </c>
      <c r="S71" s="176">
        <f>USD!S72</f>
        <v>0.85</v>
      </c>
      <c r="T71" s="176">
        <f>USD!T72</f>
        <v>0.7</v>
      </c>
      <c r="U71" s="176">
        <f>USD!U72</f>
        <v>0.85</v>
      </c>
      <c r="V71" s="176">
        <f>USD!V72</f>
        <v>0.7</v>
      </c>
      <c r="W71" s="176">
        <f>USD!W72</f>
        <v>0.9</v>
      </c>
      <c r="X71" s="176">
        <f>USD!X72</f>
        <v>0.95</v>
      </c>
      <c r="Y71" s="176">
        <f>USD!Y72</f>
        <v>1</v>
      </c>
      <c r="Z71" s="176">
        <f>USD!Z72</f>
        <v>0.9</v>
      </c>
      <c r="AA71" s="176">
        <f>USD!AA72</f>
        <v>0.85</v>
      </c>
    </row>
    <row r="72" spans="15:27" ht="12.75">
      <c r="O72" s="87" t="str">
        <f>USD!O73</f>
        <v>Республика Марий Эл (не включая г. Йошкар-Олу)</v>
      </c>
      <c r="P72" s="88">
        <f>USD!P73</f>
        <v>100</v>
      </c>
      <c r="Q72" s="88">
        <f>USD!Q73</f>
        <v>85</v>
      </c>
      <c r="R72" s="176">
        <f>USD!R73</f>
        <v>0.85</v>
      </c>
      <c r="S72" s="176">
        <f>USD!S73</f>
        <v>0.85</v>
      </c>
      <c r="T72" s="176">
        <f>USD!T73</f>
        <v>0.7</v>
      </c>
      <c r="U72" s="176">
        <f>USD!U73</f>
        <v>0.85</v>
      </c>
      <c r="V72" s="176">
        <f>USD!V73</f>
        <v>0.7</v>
      </c>
      <c r="W72" s="176">
        <f>USD!W73</f>
        <v>0.85</v>
      </c>
      <c r="X72" s="176">
        <f>USD!X73</f>
        <v>0.95</v>
      </c>
      <c r="Y72" s="176">
        <f>USD!Y73</f>
        <v>1</v>
      </c>
      <c r="Z72" s="176">
        <f>USD!Z73</f>
        <v>0.9</v>
      </c>
      <c r="AA72" s="176">
        <f>USD!AA73</f>
        <v>0.85</v>
      </c>
    </row>
    <row r="73" spans="15:27" ht="12.75">
      <c r="O73" s="87" t="str">
        <f>USD!O74</f>
        <v>г. Йошкар-Ола</v>
      </c>
      <c r="P73" s="88">
        <f>USD!P74</f>
        <v>100</v>
      </c>
      <c r="Q73" s="88">
        <f>USD!Q74</f>
        <v>85</v>
      </c>
      <c r="R73" s="176">
        <f>USD!R74</f>
        <v>0.9</v>
      </c>
      <c r="S73" s="176">
        <f>USD!S74</f>
        <v>0.85</v>
      </c>
      <c r="T73" s="176">
        <f>USD!T74</f>
        <v>0.7</v>
      </c>
      <c r="U73" s="176">
        <f>USD!U74</f>
        <v>0.85</v>
      </c>
      <c r="V73" s="176">
        <f>USD!V74</f>
        <v>0.7</v>
      </c>
      <c r="W73" s="176">
        <f>USD!W74</f>
        <v>0.9</v>
      </c>
      <c r="X73" s="176">
        <f>USD!X74</f>
        <v>0.95</v>
      </c>
      <c r="Y73" s="176">
        <f>USD!Y74</f>
        <v>1</v>
      </c>
      <c r="Z73" s="176">
        <f>USD!Z74</f>
        <v>0.9</v>
      </c>
      <c r="AA73" s="176">
        <f>USD!AA74</f>
        <v>0.85</v>
      </c>
    </row>
    <row r="74" spans="15:27" ht="12.75">
      <c r="O74" s="87" t="str">
        <f>USD!O75</f>
        <v>Республика Саха (Якутия) (не включая г. Якутск)</v>
      </c>
      <c r="P74" s="88">
        <f>USD!P75</f>
        <v>120</v>
      </c>
      <c r="Q74" s="88">
        <f>USD!Q75</f>
        <v>100</v>
      </c>
      <c r="R74" s="176">
        <f>USD!R75</f>
        <v>0.85</v>
      </c>
      <c r="S74" s="176">
        <f>USD!S75</f>
        <v>0.85</v>
      </c>
      <c r="T74" s="176">
        <f>USD!T75</f>
        <v>0.7</v>
      </c>
      <c r="U74" s="176">
        <f>USD!U75</f>
        <v>0.85</v>
      </c>
      <c r="V74" s="176">
        <f>USD!V75</f>
        <v>0.7</v>
      </c>
      <c r="W74" s="176">
        <f>USD!W75</f>
        <v>0.85</v>
      </c>
      <c r="X74" s="176">
        <f>USD!X75</f>
        <v>0.95</v>
      </c>
      <c r="Y74" s="176">
        <f>USD!Y75</f>
        <v>1</v>
      </c>
      <c r="Z74" s="176">
        <f>USD!Z75</f>
        <v>0.9</v>
      </c>
      <c r="AA74" s="176">
        <f>USD!AA75</f>
        <v>0.85</v>
      </c>
    </row>
    <row r="75" spans="15:27" ht="12.75">
      <c r="O75" s="87" t="str">
        <f>USD!O76</f>
        <v>г. Якутск</v>
      </c>
      <c r="P75" s="88">
        <f>USD!P76</f>
        <v>120</v>
      </c>
      <c r="Q75" s="88">
        <f>USD!Q76</f>
        <v>100</v>
      </c>
      <c r="R75" s="176">
        <f>USD!R76</f>
        <v>0.9</v>
      </c>
      <c r="S75" s="176">
        <f>USD!S76</f>
        <v>0.85</v>
      </c>
      <c r="T75" s="176">
        <f>USD!T76</f>
        <v>0.7</v>
      </c>
      <c r="U75" s="176">
        <f>USD!U76</f>
        <v>0.85</v>
      </c>
      <c r="V75" s="176">
        <f>USD!V76</f>
        <v>0.7</v>
      </c>
      <c r="W75" s="176">
        <f>USD!W76</f>
        <v>0.9</v>
      </c>
      <c r="X75" s="176">
        <f>USD!X76</f>
        <v>0.95</v>
      </c>
      <c r="Y75" s="176">
        <f>USD!Y76</f>
        <v>1</v>
      </c>
      <c r="Z75" s="176">
        <f>USD!Z76</f>
        <v>0.9</v>
      </c>
      <c r="AA75" s="176">
        <f>USD!AA76</f>
        <v>0.85</v>
      </c>
    </row>
    <row r="76" spans="15:27" ht="12.75">
      <c r="O76" s="87" t="str">
        <f>USD!O77</f>
        <v>Республика Татарстан (не включая г. Казань)</v>
      </c>
      <c r="P76" s="88">
        <f>USD!P77</f>
        <v>100</v>
      </c>
      <c r="Q76" s="88">
        <f>USD!Q77</f>
        <v>85</v>
      </c>
      <c r="R76" s="176">
        <f>USD!R77</f>
        <v>0.85</v>
      </c>
      <c r="S76" s="176">
        <f>USD!S77</f>
        <v>0.85</v>
      </c>
      <c r="T76" s="176">
        <f>USD!T77</f>
        <v>0.7</v>
      </c>
      <c r="U76" s="176">
        <f>USD!U77</f>
        <v>0.85</v>
      </c>
      <c r="V76" s="176">
        <f>USD!V77</f>
        <v>0.7</v>
      </c>
      <c r="W76" s="176">
        <f>USD!W77</f>
        <v>0.85</v>
      </c>
      <c r="X76" s="176">
        <f>USD!X77</f>
        <v>0.95</v>
      </c>
      <c r="Y76" s="176">
        <f>USD!Y77</f>
        <v>1</v>
      </c>
      <c r="Z76" s="176">
        <f>USD!Z77</f>
        <v>0.9</v>
      </c>
      <c r="AA76" s="176">
        <f>USD!AA77</f>
        <v>0.85</v>
      </c>
    </row>
    <row r="77" spans="15:27" ht="12.75">
      <c r="O77" s="87" t="str">
        <f>USD!O78</f>
        <v>г. Казань</v>
      </c>
      <c r="P77" s="88">
        <f>USD!P78</f>
        <v>100</v>
      </c>
      <c r="Q77" s="88">
        <f>USD!Q78</f>
        <v>85</v>
      </c>
      <c r="R77" s="176">
        <f>USD!R78</f>
        <v>1</v>
      </c>
      <c r="S77" s="176">
        <f>USD!S78</f>
        <v>0.95</v>
      </c>
      <c r="T77" s="176">
        <f>USD!T78</f>
        <v>0.9</v>
      </c>
      <c r="U77" s="176">
        <f>USD!U78</f>
        <v>0.95</v>
      </c>
      <c r="V77" s="176">
        <f>USD!V78</f>
        <v>0.95</v>
      </c>
      <c r="W77" s="176">
        <f>USD!W78</f>
        <v>1</v>
      </c>
      <c r="X77" s="176">
        <f>USD!X78</f>
        <v>0.95</v>
      </c>
      <c r="Y77" s="176">
        <f>USD!Y78</f>
        <v>1</v>
      </c>
      <c r="Z77" s="176">
        <f>USD!Z78</f>
        <v>0.9</v>
      </c>
      <c r="AA77" s="176">
        <f>USD!AA78</f>
        <v>0.85</v>
      </c>
    </row>
    <row r="78" spans="15:27" ht="12.75">
      <c r="O78" s="87" t="str">
        <f>USD!O79</f>
        <v>Ростовская область (не включая г. Ростов-на-Дону)</v>
      </c>
      <c r="P78" s="88">
        <f>USD!P79</f>
        <v>100</v>
      </c>
      <c r="Q78" s="88">
        <f>USD!Q79</f>
        <v>85</v>
      </c>
      <c r="R78" s="176">
        <f>USD!R79</f>
        <v>0.85</v>
      </c>
      <c r="S78" s="176">
        <f>USD!S79</f>
        <v>0.85</v>
      </c>
      <c r="T78" s="176">
        <f>USD!T79</f>
        <v>0.7</v>
      </c>
      <c r="U78" s="176">
        <f>USD!U79</f>
        <v>0.85</v>
      </c>
      <c r="V78" s="176">
        <f>USD!V79</f>
        <v>0.7</v>
      </c>
      <c r="W78" s="176">
        <f>USD!W79</f>
        <v>0.85</v>
      </c>
      <c r="X78" s="176">
        <f>USD!X79</f>
        <v>0.95</v>
      </c>
      <c r="Y78" s="176">
        <f>USD!Y79</f>
        <v>1</v>
      </c>
      <c r="Z78" s="176">
        <f>USD!Z79</f>
        <v>0.9</v>
      </c>
      <c r="AA78" s="176">
        <f>USD!AA79</f>
        <v>0.85</v>
      </c>
    </row>
    <row r="79" spans="15:27" ht="12.75">
      <c r="O79" s="87" t="str">
        <f>USD!O80</f>
        <v>г. Ростов-на-Дону</v>
      </c>
      <c r="P79" s="88">
        <f>USD!P80</f>
        <v>100</v>
      </c>
      <c r="Q79" s="88">
        <f>USD!Q80</f>
        <v>85</v>
      </c>
      <c r="R79" s="176">
        <f>USD!R80</f>
        <v>0.95</v>
      </c>
      <c r="S79" s="176">
        <f>USD!S80</f>
        <v>0.95</v>
      </c>
      <c r="T79" s="176">
        <f>USD!T80</f>
        <v>0.9</v>
      </c>
      <c r="U79" s="176">
        <f>USD!U80</f>
        <v>0.95</v>
      </c>
      <c r="V79" s="176">
        <f>USD!V80</f>
        <v>0.95</v>
      </c>
      <c r="W79" s="176">
        <f>USD!W80</f>
        <v>0.95</v>
      </c>
      <c r="X79" s="176">
        <f>USD!X80</f>
        <v>0.95</v>
      </c>
      <c r="Y79" s="176">
        <f>USD!Y80</f>
        <v>1</v>
      </c>
      <c r="Z79" s="176">
        <f>USD!Z80</f>
        <v>0.9</v>
      </c>
      <c r="AA79" s="176">
        <f>USD!AA80</f>
        <v>0.85</v>
      </c>
    </row>
    <row r="80" spans="15:27" ht="12.75">
      <c r="O80" s="87" t="str">
        <f>USD!O81</f>
        <v>Самарская область (не включая г. Самара и г. Тольятти)</v>
      </c>
      <c r="P80" s="88">
        <f>USD!P81</f>
        <v>100</v>
      </c>
      <c r="Q80" s="88">
        <f>USD!Q81</f>
        <v>85</v>
      </c>
      <c r="R80" s="176">
        <f>USD!R81</f>
        <v>0.85</v>
      </c>
      <c r="S80" s="176">
        <f>USD!S81</f>
        <v>0.85</v>
      </c>
      <c r="T80" s="176">
        <f>USD!T81</f>
        <v>0.7</v>
      </c>
      <c r="U80" s="176">
        <f>USD!U81</f>
        <v>0.85</v>
      </c>
      <c r="V80" s="176">
        <f>USD!V81</f>
        <v>0.7</v>
      </c>
      <c r="W80" s="176">
        <f>USD!W81</f>
        <v>0.85</v>
      </c>
      <c r="X80" s="176">
        <f>USD!X81</f>
        <v>0.95</v>
      </c>
      <c r="Y80" s="176">
        <f>USD!Y81</f>
        <v>1</v>
      </c>
      <c r="Z80" s="176">
        <f>USD!Z81</f>
        <v>0.9</v>
      </c>
      <c r="AA80" s="176">
        <f>USD!AA81</f>
        <v>0.85</v>
      </c>
    </row>
    <row r="81" spans="15:27" ht="12.75">
      <c r="O81" s="87" t="str">
        <f>USD!O82</f>
        <v>г. Самара</v>
      </c>
      <c r="P81" s="88">
        <f>USD!P82</f>
        <v>100</v>
      </c>
      <c r="Q81" s="88">
        <f>USD!Q82</f>
        <v>85</v>
      </c>
      <c r="R81" s="176">
        <f>USD!R82</f>
        <v>1</v>
      </c>
      <c r="S81" s="176">
        <f>USD!S82</f>
        <v>0.95</v>
      </c>
      <c r="T81" s="176">
        <f>USD!T82</f>
        <v>0.9</v>
      </c>
      <c r="U81" s="176">
        <f>USD!U82</f>
        <v>0.95</v>
      </c>
      <c r="V81" s="176">
        <f>USD!V82</f>
        <v>0.95</v>
      </c>
      <c r="W81" s="176">
        <f>USD!W82</f>
        <v>1</v>
      </c>
      <c r="X81" s="176">
        <f>USD!X82</f>
        <v>0.95</v>
      </c>
      <c r="Y81" s="176">
        <f>USD!Y82</f>
        <v>1</v>
      </c>
      <c r="Z81" s="176">
        <f>USD!Z82</f>
        <v>0.9</v>
      </c>
      <c r="AA81" s="176">
        <f>USD!AA82</f>
        <v>0.85</v>
      </c>
    </row>
    <row r="82" spans="15:27" ht="12.75">
      <c r="O82" s="87" t="str">
        <f>USD!O83</f>
        <v>г. Тольятти</v>
      </c>
      <c r="P82" s="88">
        <f>USD!P83</f>
        <v>100</v>
      </c>
      <c r="Q82" s="88">
        <f>USD!Q83</f>
        <v>85</v>
      </c>
      <c r="R82" s="176">
        <f>USD!R83</f>
        <v>0.9</v>
      </c>
      <c r="S82" s="176">
        <f>USD!S83</f>
        <v>0.85</v>
      </c>
      <c r="T82" s="176">
        <f>USD!T83</f>
        <v>0.7</v>
      </c>
      <c r="U82" s="176">
        <f>USD!U83</f>
        <v>0.85</v>
      </c>
      <c r="V82" s="176">
        <f>USD!V83</f>
        <v>0.7</v>
      </c>
      <c r="W82" s="176">
        <f>USD!W83</f>
        <v>0.9</v>
      </c>
      <c r="X82" s="176">
        <f>USD!X83</f>
        <v>0.95</v>
      </c>
      <c r="Y82" s="176">
        <f>USD!Y83</f>
        <v>1</v>
      </c>
      <c r="Z82" s="176">
        <f>USD!Z83</f>
        <v>0.9</v>
      </c>
      <c r="AA82" s="176">
        <f>USD!AA83</f>
        <v>0.85</v>
      </c>
    </row>
    <row r="83" spans="15:27" ht="12.75">
      <c r="O83" s="87" t="str">
        <f>USD!O84</f>
        <v>Саратовская область (включая г. Саратов)</v>
      </c>
      <c r="P83" s="88">
        <f>USD!P84</f>
        <v>100</v>
      </c>
      <c r="Q83" s="88">
        <f>USD!Q84</f>
        <v>85</v>
      </c>
      <c r="R83" s="176">
        <f>USD!R84</f>
        <v>0.85</v>
      </c>
      <c r="S83" s="176">
        <f>USD!S84</f>
        <v>0.85</v>
      </c>
      <c r="T83" s="176">
        <f>USD!T84</f>
        <v>0.7</v>
      </c>
      <c r="U83" s="176">
        <f>USD!U84</f>
        <v>0.85</v>
      </c>
      <c r="V83" s="176">
        <f>USD!V84</f>
        <v>0.7</v>
      </c>
      <c r="W83" s="176">
        <f>USD!W84</f>
        <v>0.85</v>
      </c>
      <c r="X83" s="176">
        <f>USD!X84</f>
        <v>0.95</v>
      </c>
      <c r="Y83" s="176">
        <f>USD!Y84</f>
        <v>1</v>
      </c>
      <c r="Z83" s="176">
        <f>USD!Z84</f>
        <v>0.9</v>
      </c>
      <c r="AA83" s="176">
        <f>USD!AA84</f>
        <v>0.85</v>
      </c>
    </row>
    <row r="84" spans="15:27" ht="12.75">
      <c r="O84" s="87" t="str">
        <f>USD!O85</f>
        <v>Свердловская область (не включая г. Екатеринбург)</v>
      </c>
      <c r="P84" s="88">
        <f>USD!P85</f>
        <v>100</v>
      </c>
      <c r="Q84" s="88">
        <f>USD!Q85</f>
        <v>85</v>
      </c>
      <c r="R84" s="176">
        <f>USD!R85</f>
        <v>0.85</v>
      </c>
      <c r="S84" s="176">
        <f>USD!S85</f>
        <v>0.85</v>
      </c>
      <c r="T84" s="176">
        <f>USD!T85</f>
        <v>0.7</v>
      </c>
      <c r="U84" s="176">
        <f>USD!U85</f>
        <v>0.85</v>
      </c>
      <c r="V84" s="176">
        <f>USD!V85</f>
        <v>0.7</v>
      </c>
      <c r="W84" s="176">
        <f>USD!W85</f>
        <v>0.85</v>
      </c>
      <c r="X84" s="176">
        <f>USD!X85</f>
        <v>0.95</v>
      </c>
      <c r="Y84" s="176">
        <f>USD!Y85</f>
        <v>1</v>
      </c>
      <c r="Z84" s="176">
        <f>USD!Z85</f>
        <v>0.9</v>
      </c>
      <c r="AA84" s="176">
        <f>USD!AA85</f>
        <v>0.85</v>
      </c>
    </row>
    <row r="85" spans="15:27" ht="12.75">
      <c r="O85" s="87" t="str">
        <f>USD!O86</f>
        <v>г. Екатеринбург</v>
      </c>
      <c r="P85" s="88">
        <f>USD!P86</f>
        <v>100</v>
      </c>
      <c r="Q85" s="88">
        <f>USD!Q86</f>
        <v>85</v>
      </c>
      <c r="R85" s="176">
        <f>USD!R86</f>
        <v>1</v>
      </c>
      <c r="S85" s="176">
        <f>USD!S86</f>
        <v>0.95</v>
      </c>
      <c r="T85" s="176">
        <f>USD!T86</f>
        <v>0.9</v>
      </c>
      <c r="U85" s="176">
        <f>USD!U86</f>
        <v>0.95</v>
      </c>
      <c r="V85" s="176">
        <f>USD!V86</f>
        <v>0.95</v>
      </c>
      <c r="W85" s="176">
        <f>USD!W86</f>
        <v>1</v>
      </c>
      <c r="X85" s="176">
        <f>USD!X86</f>
        <v>0.95</v>
      </c>
      <c r="Y85" s="176">
        <f>USD!Y86</f>
        <v>1</v>
      </c>
      <c r="Z85" s="176">
        <f>USD!Z86</f>
        <v>0.9</v>
      </c>
      <c r="AA85" s="176">
        <f>USD!AA86</f>
        <v>0.85</v>
      </c>
    </row>
    <row r="86" spans="15:27" ht="12.75">
      <c r="O86" s="87" t="str">
        <f>USD!O87</f>
        <v>Смоленская область (не включая г. Смоленск)</v>
      </c>
      <c r="P86" s="88">
        <f>USD!P87</f>
        <v>100</v>
      </c>
      <c r="Q86" s="88">
        <f>USD!Q87</f>
        <v>85</v>
      </c>
      <c r="R86" s="176">
        <f>USD!R87</f>
        <v>0.85</v>
      </c>
      <c r="S86" s="176">
        <f>USD!S87</f>
        <v>0.85</v>
      </c>
      <c r="T86" s="176">
        <f>USD!T87</f>
        <v>0.7</v>
      </c>
      <c r="U86" s="176">
        <f>USD!U87</f>
        <v>0.85</v>
      </c>
      <c r="V86" s="176">
        <f>USD!V87</f>
        <v>0.7</v>
      </c>
      <c r="W86" s="176">
        <f>USD!W87</f>
        <v>0.85</v>
      </c>
      <c r="X86" s="176">
        <f>USD!X87</f>
        <v>0.95</v>
      </c>
      <c r="Y86" s="176">
        <f>USD!Y87</f>
        <v>1</v>
      </c>
      <c r="Z86" s="176">
        <f>USD!Z87</f>
        <v>0.9</v>
      </c>
      <c r="AA86" s="176">
        <f>USD!AA87</f>
        <v>0.85</v>
      </c>
    </row>
    <row r="87" spans="15:27" ht="12.75">
      <c r="O87" s="87" t="str">
        <f>USD!O88</f>
        <v>г. Смоленск</v>
      </c>
      <c r="P87" s="88">
        <f>USD!P88</f>
        <v>100</v>
      </c>
      <c r="Q87" s="88">
        <f>USD!Q88</f>
        <v>85</v>
      </c>
      <c r="R87" s="176">
        <f>USD!R88</f>
        <v>0.9</v>
      </c>
      <c r="S87" s="176">
        <f>USD!S88</f>
        <v>0.85</v>
      </c>
      <c r="T87" s="176">
        <f>USD!T88</f>
        <v>0.7</v>
      </c>
      <c r="U87" s="176">
        <f>USD!U88</f>
        <v>0.85</v>
      </c>
      <c r="V87" s="176">
        <f>USD!V88</f>
        <v>0.7</v>
      </c>
      <c r="W87" s="176">
        <f>USD!W88</f>
        <v>0.9</v>
      </c>
      <c r="X87" s="176">
        <f>USD!X88</f>
        <v>0.95</v>
      </c>
      <c r="Y87" s="176">
        <f>USD!Y88</f>
        <v>1</v>
      </c>
      <c r="Z87" s="176">
        <f>USD!Z88</f>
        <v>0.9</v>
      </c>
      <c r="AA87" s="176">
        <f>USD!AA88</f>
        <v>0.85</v>
      </c>
    </row>
    <row r="88" spans="15:27" ht="12.75">
      <c r="O88" s="87" t="str">
        <f>USD!O89</f>
        <v>Тульская область (не включая г. Тула и г. Новомосковск)</v>
      </c>
      <c r="P88" s="88">
        <f>USD!P89</f>
        <v>100</v>
      </c>
      <c r="Q88" s="88">
        <f>USD!Q89</f>
        <v>85</v>
      </c>
      <c r="R88" s="176">
        <f>USD!R89</f>
        <v>0.85</v>
      </c>
      <c r="S88" s="176">
        <f>USD!S89</f>
        <v>0.85</v>
      </c>
      <c r="T88" s="176">
        <f>USD!T89</f>
        <v>0.7</v>
      </c>
      <c r="U88" s="176">
        <f>USD!U89</f>
        <v>0.85</v>
      </c>
      <c r="V88" s="176">
        <f>USD!V89</f>
        <v>0.7</v>
      </c>
      <c r="W88" s="176">
        <f>USD!W89</f>
        <v>0.85</v>
      </c>
      <c r="X88" s="176">
        <f>USD!X89</f>
        <v>0.95</v>
      </c>
      <c r="Y88" s="176">
        <f>USD!Y89</f>
        <v>1</v>
      </c>
      <c r="Z88" s="176">
        <f>USD!Z89</f>
        <v>0.9</v>
      </c>
      <c r="AA88" s="176">
        <f>USD!AA89</f>
        <v>0.85</v>
      </c>
    </row>
    <row r="89" spans="15:27" ht="12.75">
      <c r="O89" s="87" t="str">
        <f>USD!O90</f>
        <v>г. Тула</v>
      </c>
      <c r="P89" s="88">
        <f>USD!P90</f>
        <v>100</v>
      </c>
      <c r="Q89" s="88">
        <f>USD!Q90</f>
        <v>85</v>
      </c>
      <c r="R89" s="176">
        <f>USD!R90</f>
        <v>0.9</v>
      </c>
      <c r="S89" s="176">
        <f>USD!S90</f>
        <v>0.85</v>
      </c>
      <c r="T89" s="176">
        <f>USD!T90</f>
        <v>0.7</v>
      </c>
      <c r="U89" s="176">
        <f>USD!U90</f>
        <v>0.85</v>
      </c>
      <c r="V89" s="176">
        <f>USD!V90</f>
        <v>0.7</v>
      </c>
      <c r="W89" s="176">
        <f>USD!W90</f>
        <v>0.9</v>
      </c>
      <c r="X89" s="176">
        <f>USD!X90</f>
        <v>0.95</v>
      </c>
      <c r="Y89" s="176">
        <f>USD!Y90</f>
        <v>1</v>
      </c>
      <c r="Z89" s="176">
        <f>USD!Z90</f>
        <v>0.9</v>
      </c>
      <c r="AA89" s="176">
        <f>USD!AA90</f>
        <v>0.85</v>
      </c>
    </row>
    <row r="90" spans="15:27" ht="12.75">
      <c r="O90" s="87" t="str">
        <f>USD!O91</f>
        <v>г. Новомосковск</v>
      </c>
      <c r="P90" s="88">
        <f>USD!P91</f>
        <v>100</v>
      </c>
      <c r="Q90" s="88">
        <f>USD!Q91</f>
        <v>85</v>
      </c>
      <c r="R90" s="176">
        <f>USD!R91</f>
        <v>0.9</v>
      </c>
      <c r="S90" s="176">
        <f>USD!S91</f>
        <v>0.85</v>
      </c>
      <c r="T90" s="176">
        <f>USD!T91</f>
        <v>0.7</v>
      </c>
      <c r="U90" s="176">
        <f>USD!U91</f>
        <v>0.85</v>
      </c>
      <c r="V90" s="176">
        <f>USD!V91</f>
        <v>0.7</v>
      </c>
      <c r="W90" s="176">
        <f>USD!W91</f>
        <v>0.9</v>
      </c>
      <c r="X90" s="176">
        <f>USD!X91</f>
        <v>0.95</v>
      </c>
      <c r="Y90" s="176">
        <f>USD!Y91</f>
        <v>1</v>
      </c>
      <c r="Z90" s="176">
        <f>USD!Z91</f>
        <v>0.9</v>
      </c>
      <c r="AA90" s="176">
        <f>USD!AA91</f>
        <v>0.85</v>
      </c>
    </row>
    <row r="91" spans="15:27" ht="12.75">
      <c r="O91" s="87" t="str">
        <f>USD!O92</f>
        <v>Тверская область (включая г. Тверь)</v>
      </c>
      <c r="P91" s="88">
        <f>USD!P92</f>
        <v>100</v>
      </c>
      <c r="Q91" s="88">
        <f>USD!Q92</f>
        <v>85</v>
      </c>
      <c r="R91" s="176">
        <f>USD!R92</f>
        <v>0.85</v>
      </c>
      <c r="S91" s="176">
        <f>USD!S92</f>
        <v>0.85</v>
      </c>
      <c r="T91" s="176">
        <f>USD!T92</f>
        <v>0.7</v>
      </c>
      <c r="U91" s="176">
        <f>USD!U92</f>
        <v>0.85</v>
      </c>
      <c r="V91" s="176">
        <f>USD!V92</f>
        <v>0.7</v>
      </c>
      <c r="W91" s="176">
        <f>USD!W92</f>
        <v>0.85</v>
      </c>
      <c r="X91" s="176">
        <f>USD!X92</f>
        <v>0.95</v>
      </c>
      <c r="Y91" s="176">
        <f>USD!Y92</f>
        <v>1</v>
      </c>
      <c r="Z91" s="176">
        <f>USD!Z92</f>
        <v>0.9</v>
      </c>
      <c r="AA91" s="176">
        <f>USD!AA92</f>
        <v>0.85</v>
      </c>
    </row>
    <row r="92" spans="15:27" ht="12.75">
      <c r="O92" s="87" t="str">
        <f>USD!O93</f>
        <v>Томская область (не включая г. Томск)</v>
      </c>
      <c r="P92" s="88">
        <f>USD!P93</f>
        <v>100</v>
      </c>
      <c r="Q92" s="88">
        <f>USD!Q93</f>
        <v>85</v>
      </c>
      <c r="R92" s="176">
        <f>USD!R93</f>
        <v>0.85</v>
      </c>
      <c r="S92" s="176">
        <f>USD!S93</f>
        <v>0.85</v>
      </c>
      <c r="T92" s="176">
        <f>USD!T93</f>
        <v>0.7</v>
      </c>
      <c r="U92" s="176">
        <f>USD!U93</f>
        <v>0.85</v>
      </c>
      <c r="V92" s="176">
        <f>USD!V93</f>
        <v>0.7</v>
      </c>
      <c r="W92" s="176">
        <f>USD!W93</f>
        <v>0.85</v>
      </c>
      <c r="X92" s="176">
        <f>USD!X93</f>
        <v>0.95</v>
      </c>
      <c r="Y92" s="176">
        <f>USD!Y93</f>
        <v>1</v>
      </c>
      <c r="Z92" s="176">
        <f>USD!Z93</f>
        <v>0.9</v>
      </c>
      <c r="AA92" s="176">
        <f>USD!AA93</f>
        <v>0.85</v>
      </c>
    </row>
    <row r="93" spans="15:27" ht="12.75">
      <c r="O93" s="87" t="str">
        <f>USD!O94</f>
        <v>г. Томск</v>
      </c>
      <c r="P93" s="88">
        <f>USD!P94</f>
        <v>100</v>
      </c>
      <c r="Q93" s="88">
        <f>USD!Q94</f>
        <v>85</v>
      </c>
      <c r="R93" s="176">
        <f>USD!R94</f>
        <v>0.9</v>
      </c>
      <c r="S93" s="176">
        <f>USD!S94</f>
        <v>0.85</v>
      </c>
      <c r="T93" s="176">
        <f>USD!T94</f>
        <v>0.7</v>
      </c>
      <c r="U93" s="176">
        <f>USD!U94</f>
        <v>0.85</v>
      </c>
      <c r="V93" s="176">
        <f>USD!V94</f>
        <v>0.7</v>
      </c>
      <c r="W93" s="176">
        <f>USD!W94</f>
        <v>0.9</v>
      </c>
      <c r="X93" s="176">
        <f>USD!X94</f>
        <v>0.95</v>
      </c>
      <c r="Y93" s="176">
        <f>USD!Y94</f>
        <v>1</v>
      </c>
      <c r="Z93" s="176">
        <f>USD!Z94</f>
        <v>0.9</v>
      </c>
      <c r="AA93" s="176">
        <f>USD!AA94</f>
        <v>0.85</v>
      </c>
    </row>
    <row r="94" spans="15:27" ht="12.75">
      <c r="O94" s="87" t="str">
        <f>USD!O95</f>
        <v>Тюменская область (не включая г. Тюмень)</v>
      </c>
      <c r="P94" s="88">
        <f>USD!P95</f>
        <v>100</v>
      </c>
      <c r="Q94" s="88">
        <f>USD!Q95</f>
        <v>85</v>
      </c>
      <c r="R94" s="176">
        <f>USD!R95</f>
        <v>0.85</v>
      </c>
      <c r="S94" s="176">
        <f>USD!S95</f>
        <v>0.85</v>
      </c>
      <c r="T94" s="176">
        <f>USD!T95</f>
        <v>0.7</v>
      </c>
      <c r="U94" s="176">
        <f>USD!U95</f>
        <v>0.85</v>
      </c>
      <c r="V94" s="176">
        <f>USD!V95</f>
        <v>0.7</v>
      </c>
      <c r="W94" s="176">
        <f>USD!W95</f>
        <v>0.85</v>
      </c>
      <c r="X94" s="176">
        <f>USD!X95</f>
        <v>0.95</v>
      </c>
      <c r="Y94" s="176">
        <f>USD!Y95</f>
        <v>1</v>
      </c>
      <c r="Z94" s="176">
        <f>USD!Z95</f>
        <v>0.9</v>
      </c>
      <c r="AA94" s="176">
        <f>USD!AA95</f>
        <v>0.85</v>
      </c>
    </row>
    <row r="95" spans="15:27" ht="12.75">
      <c r="O95" s="87" t="str">
        <f>USD!O96</f>
        <v>г. Тюмень</v>
      </c>
      <c r="P95" s="88">
        <f>USD!P96</f>
        <v>100</v>
      </c>
      <c r="Q95" s="88">
        <f>USD!Q96</f>
        <v>85</v>
      </c>
      <c r="R95" s="176">
        <f>USD!R96</f>
        <v>0.95</v>
      </c>
      <c r="S95" s="176">
        <f>USD!S96</f>
        <v>0.95</v>
      </c>
      <c r="T95" s="176">
        <f>USD!T96</f>
        <v>0.9</v>
      </c>
      <c r="U95" s="176">
        <f>USD!U96</f>
        <v>0.95</v>
      </c>
      <c r="V95" s="176">
        <f>USD!V96</f>
        <v>0.95</v>
      </c>
      <c r="W95" s="176">
        <f>USD!W96</f>
        <v>0.95</v>
      </c>
      <c r="X95" s="176">
        <f>USD!X96</f>
        <v>0.95</v>
      </c>
      <c r="Y95" s="176">
        <f>USD!Y96</f>
        <v>1</v>
      </c>
      <c r="Z95" s="176">
        <f>USD!Z96</f>
        <v>0.9</v>
      </c>
      <c r="AA95" s="176">
        <f>USD!AA96</f>
        <v>0.85</v>
      </c>
    </row>
    <row r="96" spans="15:27" ht="12.75">
      <c r="O96" s="87" t="str">
        <f>USD!O97</f>
        <v>Ульяновская область (не включая г. Ульяновск)</v>
      </c>
      <c r="P96" s="88">
        <f>USD!P97</f>
        <v>100</v>
      </c>
      <c r="Q96" s="88">
        <f>USD!Q97</f>
        <v>85</v>
      </c>
      <c r="R96" s="176">
        <f>USD!R97</f>
        <v>0.85</v>
      </c>
      <c r="S96" s="176">
        <f>USD!S97</f>
        <v>0.85</v>
      </c>
      <c r="T96" s="176">
        <f>USD!T97</f>
        <v>0.7</v>
      </c>
      <c r="U96" s="176">
        <f>USD!U97</f>
        <v>0.85</v>
      </c>
      <c r="V96" s="176">
        <f>USD!V97</f>
        <v>0.7</v>
      </c>
      <c r="W96" s="176">
        <f>USD!W97</f>
        <v>0.85</v>
      </c>
      <c r="X96" s="176">
        <f>USD!X97</f>
        <v>0.95</v>
      </c>
      <c r="Y96" s="176">
        <f>USD!Y97</f>
        <v>1</v>
      </c>
      <c r="Z96" s="176">
        <f>USD!Z97</f>
        <v>0.9</v>
      </c>
      <c r="AA96" s="176">
        <f>USD!AA97</f>
        <v>0.85</v>
      </c>
    </row>
    <row r="97" spans="15:27" ht="12.75">
      <c r="O97" s="87" t="str">
        <f>USD!O98</f>
        <v>г. Ульяновск</v>
      </c>
      <c r="P97" s="88">
        <f>USD!P98</f>
        <v>100</v>
      </c>
      <c r="Q97" s="88">
        <f>USD!Q98</f>
        <v>85</v>
      </c>
      <c r="R97" s="176">
        <f>USD!R98</f>
        <v>0.9</v>
      </c>
      <c r="S97" s="176">
        <f>USD!S98</f>
        <v>0.85</v>
      </c>
      <c r="T97" s="176">
        <f>USD!T98</f>
        <v>0.7</v>
      </c>
      <c r="U97" s="176">
        <f>USD!U98</f>
        <v>0.85</v>
      </c>
      <c r="V97" s="176">
        <f>USD!V98</f>
        <v>0.7</v>
      </c>
      <c r="W97" s="176">
        <f>USD!W98</f>
        <v>0.9</v>
      </c>
      <c r="X97" s="176">
        <f>USD!X98</f>
        <v>0.95</v>
      </c>
      <c r="Y97" s="176">
        <f>USD!Y98</f>
        <v>1</v>
      </c>
      <c r="Z97" s="176">
        <f>USD!Z98</f>
        <v>0.9</v>
      </c>
      <c r="AA97" s="176">
        <f>USD!AA98</f>
        <v>0.85</v>
      </c>
    </row>
    <row r="98" spans="15:27" ht="12.75">
      <c r="O98" s="87" t="str">
        <f>USD!O99</f>
        <v>Хабаровский край (не включая г. Хабаровск)</v>
      </c>
      <c r="P98" s="88">
        <f>USD!P99</f>
        <v>120</v>
      </c>
      <c r="Q98" s="88">
        <f>USD!Q99</f>
        <v>100</v>
      </c>
      <c r="R98" s="176">
        <f>USD!R99</f>
        <v>0.85</v>
      </c>
      <c r="S98" s="176">
        <f>USD!S99</f>
        <v>0.85</v>
      </c>
      <c r="T98" s="176">
        <f>USD!T99</f>
        <v>0.7</v>
      </c>
      <c r="U98" s="176">
        <f>USD!U99</f>
        <v>0.85</v>
      </c>
      <c r="V98" s="176">
        <f>USD!V99</f>
        <v>0.7</v>
      </c>
      <c r="W98" s="176">
        <f>USD!W99</f>
        <v>0.85</v>
      </c>
      <c r="X98" s="176">
        <f>USD!X99</f>
        <v>0.95</v>
      </c>
      <c r="Y98" s="176">
        <f>USD!Y99</f>
        <v>1</v>
      </c>
      <c r="Z98" s="176">
        <f>USD!Z99</f>
        <v>0.9</v>
      </c>
      <c r="AA98" s="176">
        <f>USD!AA99</f>
        <v>0.85</v>
      </c>
    </row>
    <row r="99" spans="15:27" ht="12.75">
      <c r="O99" s="87" t="str">
        <f>USD!O100</f>
        <v>г. Хабаровск</v>
      </c>
      <c r="P99" s="88">
        <f>USD!P100</f>
        <v>120</v>
      </c>
      <c r="Q99" s="88">
        <f>USD!Q100</f>
        <v>100</v>
      </c>
      <c r="R99" s="176">
        <f>USD!R100</f>
        <v>0.95</v>
      </c>
      <c r="S99" s="176">
        <f>USD!S100</f>
        <v>0.95</v>
      </c>
      <c r="T99" s="176">
        <f>USD!T100</f>
        <v>0.9</v>
      </c>
      <c r="U99" s="176">
        <f>USD!U100</f>
        <v>0.95</v>
      </c>
      <c r="V99" s="176">
        <f>USD!V100</f>
        <v>0.95</v>
      </c>
      <c r="W99" s="176">
        <f>USD!W100</f>
        <v>0.95</v>
      </c>
      <c r="X99" s="176">
        <f>USD!X100</f>
        <v>0.95</v>
      </c>
      <c r="Y99" s="176">
        <f>USD!Y100</f>
        <v>1</v>
      </c>
      <c r="Z99" s="176">
        <f>USD!Z100</f>
        <v>0.9</v>
      </c>
      <c r="AA99" s="176">
        <f>USD!AA100</f>
        <v>0.85</v>
      </c>
    </row>
    <row r="100" spans="15:27" ht="12.75">
      <c r="O100" s="87" t="str">
        <f>USD!O101</f>
        <v>Челябинская область (не включая г. Челябинск)</v>
      </c>
      <c r="P100" s="88">
        <f>USD!P101</f>
        <v>100</v>
      </c>
      <c r="Q100" s="88">
        <f>USD!Q101</f>
        <v>85</v>
      </c>
      <c r="R100" s="176">
        <f>USD!R101</f>
        <v>0.85</v>
      </c>
      <c r="S100" s="176">
        <f>USD!S101</f>
        <v>0.85</v>
      </c>
      <c r="T100" s="176">
        <f>USD!T101</f>
        <v>0.7</v>
      </c>
      <c r="U100" s="176">
        <f>USD!U101</f>
        <v>0.85</v>
      </c>
      <c r="V100" s="176">
        <f>USD!V101</f>
        <v>0.7</v>
      </c>
      <c r="W100" s="176">
        <f>USD!W101</f>
        <v>0.85</v>
      </c>
      <c r="X100" s="176">
        <f>USD!X101</f>
        <v>0.95</v>
      </c>
      <c r="Y100" s="176">
        <f>USD!Y101</f>
        <v>1</v>
      </c>
      <c r="Z100" s="176">
        <f>USD!Z101</f>
        <v>0.9</v>
      </c>
      <c r="AA100" s="176">
        <f>USD!AA101</f>
        <v>0.85</v>
      </c>
    </row>
    <row r="101" spans="15:27" ht="12.75">
      <c r="O101" s="87" t="str">
        <f>USD!O102</f>
        <v>г. Челябинск</v>
      </c>
      <c r="P101" s="88">
        <f>USD!P102</f>
        <v>100</v>
      </c>
      <c r="Q101" s="88">
        <f>USD!Q102</f>
        <v>85</v>
      </c>
      <c r="R101" s="176">
        <f>USD!R102</f>
        <v>0.9</v>
      </c>
      <c r="S101" s="176">
        <f>USD!S102</f>
        <v>0.85</v>
      </c>
      <c r="T101" s="176">
        <f>USD!T102</f>
        <v>0.7</v>
      </c>
      <c r="U101" s="176">
        <f>USD!U102</f>
        <v>0.85</v>
      </c>
      <c r="V101" s="176">
        <f>USD!V102</f>
        <v>0.7</v>
      </c>
      <c r="W101" s="176">
        <f>USD!W102</f>
        <v>0.9</v>
      </c>
      <c r="X101" s="176">
        <f>USD!X102</f>
        <v>0.95</v>
      </c>
      <c r="Y101" s="176">
        <f>USD!Y102</f>
        <v>1</v>
      </c>
      <c r="Z101" s="176">
        <f>USD!Z102</f>
        <v>0.9</v>
      </c>
      <c r="AA101" s="176">
        <f>USD!AA102</f>
        <v>0.85</v>
      </c>
    </row>
    <row r="102" spans="15:27" ht="12.75">
      <c r="O102" s="87" t="str">
        <f>USD!O103</f>
        <v>Чувашская республика (включая г. Чебоксары)</v>
      </c>
      <c r="P102" s="88">
        <f>USD!P103</f>
        <v>100</v>
      </c>
      <c r="Q102" s="88">
        <f>USD!Q103</f>
        <v>85</v>
      </c>
      <c r="R102" s="176">
        <f>USD!R103</f>
        <v>0.85</v>
      </c>
      <c r="S102" s="176">
        <f>USD!S103</f>
        <v>0.85</v>
      </c>
      <c r="T102" s="176">
        <f>USD!T103</f>
        <v>0.7</v>
      </c>
      <c r="U102" s="176">
        <f>USD!U103</f>
        <v>0.85</v>
      </c>
      <c r="V102" s="176">
        <f>USD!V103</f>
        <v>0.7</v>
      </c>
      <c r="W102" s="176">
        <f>USD!W103</f>
        <v>0.85</v>
      </c>
      <c r="X102" s="176">
        <f>USD!X103</f>
        <v>0.95</v>
      </c>
      <c r="Y102" s="176">
        <f>USD!Y103</f>
        <v>1</v>
      </c>
      <c r="Z102" s="176">
        <f>USD!Z103</f>
        <v>0.9</v>
      </c>
      <c r="AA102" s="176">
        <f>USD!AA103</f>
        <v>0.85</v>
      </c>
    </row>
    <row r="103" spans="15:27" ht="12.75">
      <c r="O103" s="87" t="str">
        <f>USD!O104</f>
        <v>Ярославская область (не включая г. Ярославль)</v>
      </c>
      <c r="P103" s="88">
        <f>USD!P104</f>
        <v>100</v>
      </c>
      <c r="Q103" s="88">
        <f>USD!Q104</f>
        <v>85</v>
      </c>
      <c r="R103" s="176">
        <f>USD!R104</f>
        <v>0.85</v>
      </c>
      <c r="S103" s="176">
        <f>USD!S104</f>
        <v>0.85</v>
      </c>
      <c r="T103" s="176">
        <f>USD!T104</f>
        <v>0.7</v>
      </c>
      <c r="U103" s="176">
        <f>USD!U104</f>
        <v>0.85</v>
      </c>
      <c r="V103" s="176">
        <f>USD!V104</f>
        <v>0.7</v>
      </c>
      <c r="W103" s="176">
        <f>USD!W104</f>
        <v>0.85</v>
      </c>
      <c r="X103" s="176">
        <f>USD!X104</f>
        <v>0.95</v>
      </c>
      <c r="Y103" s="176">
        <f>USD!Y104</f>
        <v>1</v>
      </c>
      <c r="Z103" s="176">
        <f>USD!Z104</f>
        <v>0.9</v>
      </c>
      <c r="AA103" s="176">
        <f>USD!AA104</f>
        <v>0.85</v>
      </c>
    </row>
    <row r="104" spans="15:27" ht="12.75">
      <c r="O104" s="87" t="str">
        <f>USD!O105</f>
        <v>г. Ярославль</v>
      </c>
      <c r="P104" s="88">
        <f>USD!P105</f>
        <v>100</v>
      </c>
      <c r="Q104" s="88">
        <f>USD!Q105</f>
        <v>85</v>
      </c>
      <c r="R104" s="176">
        <f>USD!R105</f>
        <v>0.9</v>
      </c>
      <c r="S104" s="176">
        <f>USD!S105</f>
        <v>0.85</v>
      </c>
      <c r="T104" s="176">
        <f>USD!T105</f>
        <v>0.7</v>
      </c>
      <c r="U104" s="176">
        <f>USD!U105</f>
        <v>0.85</v>
      </c>
      <c r="V104" s="176">
        <f>USD!V105</f>
        <v>0.7</v>
      </c>
      <c r="W104" s="176">
        <f>USD!W105</f>
        <v>0.9</v>
      </c>
      <c r="X104" s="176">
        <f>USD!X105</f>
        <v>0.95</v>
      </c>
      <c r="Y104" s="176">
        <f>USD!Y105</f>
        <v>1</v>
      </c>
      <c r="Z104" s="176">
        <f>USD!Z105</f>
        <v>0.9</v>
      </c>
      <c r="AA104" s="176">
        <f>USD!AA105</f>
        <v>0.85</v>
      </c>
    </row>
  </sheetData>
  <sheetProtection password="84F1" sheet="1" objects="1" scenarios="1"/>
  <mergeCells count="11">
    <mergeCell ref="Y25:AA25"/>
    <mergeCell ref="U25:V25"/>
    <mergeCell ref="W25:X25"/>
    <mergeCell ref="B2:H2"/>
    <mergeCell ref="A6:C6"/>
    <mergeCell ref="A7:C7"/>
    <mergeCell ref="A8:C8"/>
    <mergeCell ref="E4:I4"/>
    <mergeCell ref="E5:I5"/>
    <mergeCell ref="B4:D4"/>
    <mergeCell ref="A5:C5"/>
  </mergeCells>
  <dataValidations count="7">
    <dataValidation type="whole" operator="lessThanOrEqual" allowBlank="1" showInputMessage="1" showErrorMessage="1" promptTitle="Ограничения по срокам кредита" prompt="При типе выданного кредита &quot;Залог недвижимости&quot; срок кредита не может превышать 10 лет. Будьте внимательны!!!" sqref="D6">
      <formula1>25</formula1>
    </dataValidation>
    <dataValidation type="whole" allowBlank="1" showInputMessage="1" showErrorMessage="1" sqref="E8:F9">
      <formula1>1</formula1>
      <formula2>4</formula2>
    </dataValidation>
    <dataValidation operator="lessThanOrEqual" allowBlank="1" showInputMessage="1" showErrorMessage="1" sqref="D14 B12"/>
    <dataValidation operator="lessThanOrEqual" allowBlank="1" showErrorMessage="1" promptTitle="Ограничения по срокам кредита" prompt="При типе выданного кредита &quot;Залог недвижимости&quot; срок кредита не может превышать 10 лет. Будьте внимательны!!!" sqref="E6"/>
    <dataValidation type="list" allowBlank="1" showInputMessage="1" showErrorMessage="1" sqref="B2:H2">
      <formula1>$O$27:$O$104</formula1>
    </dataValidation>
    <dataValidation type="list" allowBlank="1" showInputMessage="1" showErrorMessage="1" sqref="B4:D4">
      <formula1>$O$4:$O$5</formula1>
    </dataValidation>
    <dataValidation type="whole" allowBlank="1" showInputMessage="1" showErrorMessage="1" sqref="D8">
      <formula1>1</formula1>
      <formula2>6</formula2>
    </dataValidation>
  </dataValidations>
  <printOptions/>
  <pageMargins left="0.75" right="0.75" top="1" bottom="1" header="0.5" footer="0.5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AA104"/>
  <sheetViews>
    <sheetView workbookViewId="0" topLeftCell="A1">
      <selection activeCell="F8" sqref="F8"/>
    </sheetView>
  </sheetViews>
  <sheetFormatPr defaultColWidth="9.00390625" defaultRowHeight="12.75"/>
  <cols>
    <col min="1" max="1" width="30.125" style="79" customWidth="1"/>
    <col min="2" max="2" width="16.875" style="79" customWidth="1"/>
    <col min="3" max="3" width="5.75390625" style="79" customWidth="1"/>
    <col min="4" max="4" width="16.875" style="79" customWidth="1"/>
    <col min="5" max="5" width="5.75390625" style="79" customWidth="1"/>
    <col min="6" max="6" width="16.875" style="79" customWidth="1"/>
    <col min="7" max="7" width="5.75390625" style="79" customWidth="1"/>
    <col min="8" max="8" width="16.875" style="79" customWidth="1"/>
    <col min="9" max="9" width="5.75390625" style="79" customWidth="1"/>
    <col min="10" max="10" width="16.875" style="79" customWidth="1"/>
    <col min="11" max="13" width="9.125" style="79" customWidth="1"/>
    <col min="14" max="14" width="9.875" style="79" hidden="1" customWidth="1"/>
    <col min="15" max="15" width="11.00390625" style="79" hidden="1" customWidth="1"/>
    <col min="16" max="16" width="9.875" style="79" hidden="1" customWidth="1"/>
    <col min="17" max="17" width="10.625" style="79" hidden="1" customWidth="1"/>
    <col min="18" max="18" width="9.875" style="79" hidden="1" customWidth="1"/>
    <col min="19" max="19" width="12.625" style="79" hidden="1" customWidth="1"/>
    <col min="20" max="21" width="0" style="79" hidden="1" customWidth="1"/>
    <col min="22" max="22" width="11.25390625" style="79" hidden="1" customWidth="1"/>
    <col min="23" max="23" width="12.125" style="79" hidden="1" customWidth="1"/>
    <col min="24" max="27" width="0" style="79" hidden="1" customWidth="1"/>
    <col min="28" max="16384" width="9.125" style="79" customWidth="1"/>
  </cols>
  <sheetData>
    <row r="1" ht="9" customHeight="1" thickBot="1"/>
    <row r="2" spans="1:15" s="22" customFormat="1" ht="17.25" thickBot="1" thickTop="1">
      <c r="A2" s="120" t="s">
        <v>26</v>
      </c>
      <c r="B2" s="222" t="s">
        <v>115</v>
      </c>
      <c r="C2" s="223"/>
      <c r="D2" s="223"/>
      <c r="E2" s="223"/>
      <c r="F2" s="223"/>
      <c r="G2" s="223"/>
      <c r="H2" s="224"/>
      <c r="J2" s="117">
        <f>O2</f>
        <v>100</v>
      </c>
      <c r="O2" s="132">
        <f>IF(D7&gt;=USD!V114,O8,O7)</f>
        <v>100</v>
      </c>
    </row>
    <row r="3" ht="9" customHeight="1" thickBot="1" thickTop="1"/>
    <row r="4" spans="1:17" s="22" customFormat="1" ht="17.25" thickBot="1" thickTop="1">
      <c r="A4" s="120" t="s">
        <v>28</v>
      </c>
      <c r="B4" s="222" t="s">
        <v>29</v>
      </c>
      <c r="C4" s="223"/>
      <c r="D4" s="224"/>
      <c r="E4" s="235" t="s">
        <v>56</v>
      </c>
      <c r="F4" s="236"/>
      <c r="G4" s="236"/>
      <c r="H4" s="236"/>
      <c r="I4" s="230"/>
      <c r="J4" s="118">
        <f>IF(D5&gt;=J5+USD!U117,J5+USD!U117,D5)</f>
        <v>0.15</v>
      </c>
      <c r="K4" s="133"/>
      <c r="L4" s="133"/>
      <c r="N4" s="22">
        <v>1</v>
      </c>
      <c r="O4" s="22" t="s">
        <v>30</v>
      </c>
      <c r="Q4" s="22">
        <f>VLOOKUP(B2,O27:V104,8,FALSE)</f>
        <v>0.7</v>
      </c>
    </row>
    <row r="5" spans="1:17" s="22" customFormat="1" ht="17.25" thickBot="1" thickTop="1">
      <c r="A5" s="236" t="s">
        <v>31</v>
      </c>
      <c r="B5" s="236"/>
      <c r="C5" s="230"/>
      <c r="D5" s="121">
        <v>0.15</v>
      </c>
      <c r="E5" s="235" t="s">
        <v>57</v>
      </c>
      <c r="F5" s="236"/>
      <c r="G5" s="236"/>
      <c r="H5" s="236"/>
      <c r="I5" s="230"/>
      <c r="J5" s="118">
        <f>IF(B4=O5,IF(D6&lt;=USD!O136,USD!Q136,IF(D6&lt;=USD!O137,USD!Q137,IF(D6&lt;=USD!O138,USD!Q138,IF(D6&lt;=USD!O140,USD!Q140,10)))),IF(D6&lt;=USD!O136,USD!S136,IF(D6&lt;=USD!O137,USD!S137,10)))</f>
        <v>0.125</v>
      </c>
      <c r="K5" s="133"/>
      <c r="L5" s="133"/>
      <c r="N5" s="22">
        <v>2</v>
      </c>
      <c r="O5" s="22" t="s">
        <v>29</v>
      </c>
      <c r="Q5" s="22">
        <f>VLOOKUP(B2,O27:V104,7,FALSE)</f>
        <v>0.85</v>
      </c>
    </row>
    <row r="6" spans="1:14" s="22" customFormat="1" ht="17.25" thickBot="1" thickTop="1">
      <c r="A6" s="236" t="s">
        <v>0</v>
      </c>
      <c r="B6" s="236"/>
      <c r="C6" s="230"/>
      <c r="D6" s="119">
        <v>7</v>
      </c>
      <c r="E6" s="112" t="s">
        <v>32</v>
      </c>
      <c r="G6" s="234" t="s">
        <v>14</v>
      </c>
      <c r="H6" s="234"/>
      <c r="I6" s="234"/>
      <c r="J6" s="135">
        <v>27.0405</v>
      </c>
      <c r="K6" s="133"/>
      <c r="L6" s="133"/>
      <c r="M6" s="133"/>
      <c r="N6" s="133"/>
    </row>
    <row r="7" spans="1:15" s="22" customFormat="1" ht="17.25" thickBot="1" thickTop="1">
      <c r="A7" s="236" t="s">
        <v>3</v>
      </c>
      <c r="B7" s="236"/>
      <c r="C7" s="230"/>
      <c r="D7" s="119">
        <v>2</v>
      </c>
      <c r="E7" s="113"/>
      <c r="G7" s="129"/>
      <c r="H7" s="129"/>
      <c r="I7" s="129"/>
      <c r="J7" s="130"/>
      <c r="K7" s="133"/>
      <c r="L7" s="133"/>
      <c r="M7" s="133"/>
      <c r="N7" s="2"/>
      <c r="O7" s="7">
        <f>VLOOKUP(B2,O27:P104,2,FALSE)</f>
        <v>100</v>
      </c>
    </row>
    <row r="8" spans="1:15" s="22" customFormat="1" ht="17.25" thickBot="1" thickTop="1">
      <c r="A8" s="236" t="s">
        <v>33</v>
      </c>
      <c r="B8" s="236"/>
      <c r="C8" s="230"/>
      <c r="D8" s="119">
        <v>4</v>
      </c>
      <c r="E8" s="113" t="s">
        <v>34</v>
      </c>
      <c r="G8" s="129"/>
      <c r="H8" s="129"/>
      <c r="I8" s="129"/>
      <c r="J8" s="130"/>
      <c r="K8" s="134"/>
      <c r="L8" s="134"/>
      <c r="M8" s="134"/>
      <c r="N8" s="7">
        <f>O2*D7</f>
        <v>200</v>
      </c>
      <c r="O8" s="7">
        <f>VLOOKUP(B2,O27:Q104,3,FALSE)</f>
        <v>85</v>
      </c>
    </row>
    <row r="9" spans="1:6" ht="9" customHeight="1" thickTop="1">
      <c r="A9" s="122"/>
      <c r="E9" s="123"/>
      <c r="F9" s="123"/>
    </row>
    <row r="10" spans="1:10" s="34" customFormat="1" ht="25.5">
      <c r="A10" s="131"/>
      <c r="B10" s="27" t="s">
        <v>4</v>
      </c>
      <c r="C10" s="131"/>
      <c r="D10" s="27" t="s">
        <v>5</v>
      </c>
      <c r="E10" s="131"/>
      <c r="F10" s="27" t="s">
        <v>6</v>
      </c>
      <c r="G10" s="131"/>
      <c r="H10" s="27" t="s">
        <v>7</v>
      </c>
      <c r="J10" s="27" t="s">
        <v>8</v>
      </c>
    </row>
    <row r="11" spans="1:8" ht="9" customHeight="1" thickBot="1">
      <c r="A11" s="122"/>
      <c r="H11" s="124"/>
    </row>
    <row r="12" spans="1:23" s="34" customFormat="1" ht="27" customHeight="1" thickBot="1" thickTop="1">
      <c r="A12" s="31" t="s">
        <v>9</v>
      </c>
      <c r="B12" s="136">
        <v>1500000</v>
      </c>
      <c r="D12" s="137">
        <f>IF($B$4=$O$5,D14/$Q$5,D14/$Q$4)</f>
        <v>1176470.5882352942</v>
      </c>
      <c r="F12" s="137">
        <f>IF($B$4=$O$5,F14/$Q$5,F14/$Q$4)</f>
        <v>1829018.8235294118</v>
      </c>
      <c r="H12" s="137">
        <f>IF($B$4=$O$5,H14/$Q$5,H14/$Q$4)</f>
        <v>1829018.8235294118</v>
      </c>
      <c r="J12" s="137">
        <f>IF($B$4=$O$5,J22/(1-$Q$5),J22/(1-$Q$4))</f>
        <v>940379.9999999999</v>
      </c>
      <c r="N12" s="81">
        <f>(B16+$N$8*$J$6)/USD!$Q$123</f>
        <v>46170.92307692307</v>
      </c>
      <c r="O12" s="81">
        <f>B16/USD!$P$123</f>
        <v>54673.33333333333</v>
      </c>
      <c r="P12" s="81">
        <f>(D16+$N$8*$J$6)/USD!$Q$123</f>
        <v>38007.84615384615</v>
      </c>
      <c r="Q12" s="81">
        <f>D16/USD!$P$123</f>
        <v>42882.22222222222</v>
      </c>
      <c r="R12" s="81">
        <f>(F16+$N$8*$J$6)/USD!$Q$123</f>
        <v>54473.99999999999</v>
      </c>
      <c r="S12" s="81">
        <f>F16/USD!$P$123</f>
        <v>66666.66666666667</v>
      </c>
      <c r="V12" s="81">
        <f>(J16+$N$8*$J$6)/USD!$Q$123</f>
        <v>32049.384615384613</v>
      </c>
      <c r="W12" s="81">
        <f>J16/USD!$P$123</f>
        <v>34275.555555555555</v>
      </c>
    </row>
    <row r="13" spans="1:23" ht="9" customHeight="1" thickBot="1" thickTop="1">
      <c r="A13" s="125"/>
      <c r="H13" s="126"/>
      <c r="N13" s="80"/>
      <c r="O13" s="81">
        <f>USD!$O$123+0.01</f>
        <v>30000.01</v>
      </c>
      <c r="P13" s="80"/>
      <c r="Q13" s="81">
        <f>USD!$O$123+0.01</f>
        <v>30000.01</v>
      </c>
      <c r="R13" s="80"/>
      <c r="S13" s="81">
        <f>USD!$O$123+0.01</f>
        <v>30000.01</v>
      </c>
      <c r="V13" s="80"/>
      <c r="W13" s="81">
        <f>USD!$O$123+0.01</f>
        <v>30000.01</v>
      </c>
    </row>
    <row r="14" spans="1:23" s="34" customFormat="1" ht="27" customHeight="1" thickBot="1" thickTop="1">
      <c r="A14" s="31" t="s">
        <v>10</v>
      </c>
      <c r="B14" s="138">
        <f>IF($B$4=$O$5,B12*Q5,B12*Q4)</f>
        <v>1275000</v>
      </c>
      <c r="D14" s="139">
        <v>1000000</v>
      </c>
      <c r="F14" s="138">
        <f>ROUND(F16/(($J$4/12)/(1-(1+($J$4/12))^-($D$6*12))),0)</f>
        <v>1554666</v>
      </c>
      <c r="H14" s="138">
        <f>ROUND(H16/(($J$4/12)/(1-(1+($J$4/12))^-($D$6*12))),0)</f>
        <v>1554666</v>
      </c>
      <c r="J14" s="138">
        <f>J12-J22</f>
        <v>799322.9999999999</v>
      </c>
      <c r="N14" s="81">
        <f>(B16+$N$8*$J$6)/USD!$Q$124</f>
        <v>42873</v>
      </c>
      <c r="O14" s="81">
        <f>B16/USD!$P$124</f>
        <v>49206</v>
      </c>
      <c r="P14" s="81">
        <f>(D16+$N$8*$J$6)/USD!$Q$124</f>
        <v>35293</v>
      </c>
      <c r="Q14" s="81">
        <f>D16/USD!$P$124</f>
        <v>38594</v>
      </c>
      <c r="R14" s="81">
        <f>(F16+$N$8*$J$6)/USD!$Q$124</f>
        <v>50583</v>
      </c>
      <c r="S14" s="81">
        <f>F16/USD!$P$124</f>
        <v>60000</v>
      </c>
      <c r="V14" s="81">
        <f>(J16+$N$8*$J$6)/USD!$Q$124</f>
        <v>29760.14285714286</v>
      </c>
      <c r="W14" s="81">
        <f>J16/USD!$P$124</f>
        <v>30848</v>
      </c>
    </row>
    <row r="15" spans="1:23" ht="9" customHeight="1" thickBot="1" thickTop="1">
      <c r="A15" s="86"/>
      <c r="H15" s="127"/>
      <c r="N15" s="81"/>
      <c r="O15" s="81">
        <f>USD!$O$124+0.01</f>
        <v>60000.01</v>
      </c>
      <c r="P15" s="81"/>
      <c r="Q15" s="81">
        <f>USD!$O$124+0.01</f>
        <v>60000.01</v>
      </c>
      <c r="R15" s="81"/>
      <c r="S15" s="81">
        <f>USD!$O$124+0.01</f>
        <v>60000.01</v>
      </c>
      <c r="V15" s="81"/>
      <c r="W15" s="81">
        <f>USD!$O$124+0.01</f>
        <v>60000.01</v>
      </c>
    </row>
    <row r="16" spans="1:23" s="34" customFormat="1" ht="27" customHeight="1" thickBot="1" thickTop="1">
      <c r="A16" s="38" t="s">
        <v>35</v>
      </c>
      <c r="B16" s="140">
        <f>ROUND(B14*(($J$4/12)/(1-(1+($J$4/12))^-($D$6*12))),0)</f>
        <v>24603</v>
      </c>
      <c r="D16" s="140">
        <f>ROUND(D14*(($J$4/12)/(1-(1+($J$4/12))^-($D$6*12))),0)</f>
        <v>19297</v>
      </c>
      <c r="F16" s="141">
        <v>30000</v>
      </c>
      <c r="H16" s="63">
        <f>IF(H20=0,0,IF(H20&lt;=USD!O123,MIN(H20*USD!Q123-N8*J6,H20*USD!P123),IF(H20&lt;=USD!O124,MIN(H20*USD!Q124-N8*J6,H20*USD!P124),IF(H20&lt;=USD!O125,MIN(H20*USD!Q125-N8*J6,H20*USD!P125),IF(H20&lt;=USD!O126,MIN(H20*USD!Q126-N8*J6,H20*USD!P126),IF(H20&lt;=USD!O127,MIN(H20*USD!Q127-N8*J6,H20*USD!P127),IF(H20&lt;=USD!O128,MIN(H20*USD!Q128-N8*J6,H20*USD!P128),MIN(H20*USD!Q129-N8*J6,H20*USD!P129))))))))</f>
        <v>30000</v>
      </c>
      <c r="J16" s="140">
        <f>ROUND(J14*(($J$4/12)/(1-(1+($J$4/12))^-($D$6*12))),0)</f>
        <v>15424</v>
      </c>
      <c r="N16" s="81">
        <f>(B16+$N$8*$J$6)/USD!$Q$125</f>
        <v>40014.799999999996</v>
      </c>
      <c r="O16" s="81">
        <f>B16/USD!$P$125</f>
        <v>44732.72727272727</v>
      </c>
      <c r="P16" s="81">
        <f>(D16+$N$8*$J$6)/USD!$Q$125</f>
        <v>32940.13333333333</v>
      </c>
      <c r="Q16" s="81">
        <f>D16/USD!$P$125</f>
        <v>35085.454545454544</v>
      </c>
      <c r="R16" s="81">
        <f>(F16+$N$8*$J$6)/USD!$Q$125</f>
        <v>47210.799999999996</v>
      </c>
      <c r="S16" s="81">
        <f>F16/USD!$P$125</f>
        <v>54545.454545454544</v>
      </c>
      <c r="V16" s="81">
        <f>(J16+$N$8*$J$6)/USD!$Q$125</f>
        <v>27776.13333333333</v>
      </c>
      <c r="W16" s="81">
        <f>J16/USD!$P$125</f>
        <v>28043.63636363636</v>
      </c>
    </row>
    <row r="17" spans="1:23" ht="9" customHeight="1" thickTop="1">
      <c r="A17" s="125"/>
      <c r="H17" s="126"/>
      <c r="N17" s="81"/>
      <c r="O17" s="81">
        <f>USD!$O$125+0.01</f>
        <v>90000.01</v>
      </c>
      <c r="P17" s="81"/>
      <c r="Q17" s="81">
        <f>USD!$O$125+0.01</f>
        <v>90000.01</v>
      </c>
      <c r="R17" s="81"/>
      <c r="S17" s="81">
        <f>USD!$O$125+0.01</f>
        <v>90000.01</v>
      </c>
      <c r="V17" s="81"/>
      <c r="W17" s="81">
        <f>USD!$O$125+0.01</f>
        <v>90000.01</v>
      </c>
    </row>
    <row r="18" spans="1:23" s="34" customFormat="1" ht="27" customHeight="1">
      <c r="A18" s="38" t="s">
        <v>58</v>
      </c>
      <c r="B18" s="140">
        <f>B24*(($J$5/12)/(1-(1+($J$5/12))^-($D$6*12-$D$8)))</f>
        <v>23081.613616807066</v>
      </c>
      <c r="D18" s="140">
        <f>D24*(($J$5/12)/(1-(1+($J$5/12))^-($D$6*12-$D$8)))</f>
        <v>18103.196639320347</v>
      </c>
      <c r="F18" s="140">
        <f>F24*(($J$5/12)/(1-(1+($J$5/12))^-($D$6*12-$D$8)))</f>
        <v>28144.446194092543</v>
      </c>
      <c r="H18" s="140">
        <f>H24*(($J$5/12)/(1-(1+($J$5/12))^-($D$6*12-$D$8)))</f>
        <v>28144.446194092543</v>
      </c>
      <c r="J18" s="140">
        <f>J24*(($J$5/12)/(1-(1+($J$5/12))^-($D$6*12-$D$8)))</f>
        <v>14470.33154019345</v>
      </c>
      <c r="N18" s="81">
        <f>(B16+$N$8*$J$6)/USD!$Q$126</f>
        <v>37513.87499999999</v>
      </c>
      <c r="O18" s="81">
        <f>B16/USD!$P$126</f>
        <v>41005</v>
      </c>
      <c r="P18" s="81">
        <f>(D16+$N$8*$J$6)/USD!$Q$126</f>
        <v>30881.374999999996</v>
      </c>
      <c r="Q18" s="81">
        <f>D16/USD!$P$126</f>
        <v>32161.666666666668</v>
      </c>
      <c r="R18" s="81">
        <f>(F16+$N$8*$J$6)/USD!$Q$126</f>
        <v>44260.12499999999</v>
      </c>
      <c r="S18" s="81">
        <f>F16/USD!$P$126</f>
        <v>50000</v>
      </c>
      <c r="V18" s="81">
        <f>(J16+$N$8*$J$6)/USD!$Q$126</f>
        <v>26040.124999999996</v>
      </c>
      <c r="W18" s="81">
        <f>J16/USD!$P$126</f>
        <v>25706.666666666668</v>
      </c>
    </row>
    <row r="19" spans="1:23" ht="9" customHeight="1" thickBot="1">
      <c r="A19" s="125"/>
      <c r="H19" s="126"/>
      <c r="O19" s="81">
        <f>USD!$O$126+0.01</f>
        <v>180000.01</v>
      </c>
      <c r="Q19" s="81">
        <f>USD!$O$126+0.01</f>
        <v>180000.01</v>
      </c>
      <c r="S19" s="81">
        <f>USD!$O$126+0.01</f>
        <v>180000.01</v>
      </c>
      <c r="W19" s="81">
        <f>USD!$O$126+0.01</f>
        <v>180000.01</v>
      </c>
    </row>
    <row r="20" spans="1:23" s="34" customFormat="1" ht="27" customHeight="1" thickBot="1" thickTop="1">
      <c r="A20" s="38" t="s">
        <v>12</v>
      </c>
      <c r="B20" s="65">
        <f>IF(B12=0,0,IF(MAX(N12:O12)&lt;=USD!$O$123,MAX(N12:O12),IF(MAX(N14:O14)&lt;=USD!$O$124,MAX(N13:O14),IF(MAX(N16:O16)&lt;=USD!$O$125,MAX(N15:O16),IF(MAX(N18:O18)&lt;=USD!$O$126,MAX(N17:O18),IF(MAX(N20:O20)&lt;=USD!$O$127,MAX(N19:O20),IF(MAX(N22:O22)&lt;=USD!$O$128,MAX(N21:O22),MAX(N23:O24))))))))</f>
        <v>49206</v>
      </c>
      <c r="D20" s="65">
        <f>IF(D12=0,0,IF(MAX(P12:Q12)&lt;=USD!$O$123,MAX(P12:Q12),IF(MAX(P14:Q14)&lt;=USD!$O$124,MAX(P13:Q14),IF(MAX(P16:Q16)&lt;=USD!$O$125,MAX(P15:Q16),IF(MAX(P18:Q18)&lt;=USD!$O$126,MAX(P17:Q18),IF(MAX(P20:Q20)&lt;=USD!$O$127,MAX(P19:Q20),IF(MAX(P22:Q22)&lt;=USD!$O$128,MAX(P21:Q22),MAX(P23:Q24))))))))</f>
        <v>38594</v>
      </c>
      <c r="F20" s="65">
        <f>IF(F12=0,0,IF(MAX(R12:S12)&lt;=USD!$O$123,MAX(R12:S12),IF(MAX(R14:S14)&lt;=USD!$O$124,MAX(R13:S14),IF(MAX(R16:S16)&lt;=USD!$O$125,MAX(R15:S16),IF(MAX(R18:S18)&lt;=USD!$O$126,MAX(R17:S18),IF(MAX(R20:S20)&lt;=USD!$O$127,MAX(R19:S20),IF(MAX(R22:S22)&lt;=USD!$O$128,MAX(R21:S22),MAX(R23:S24))))))))</f>
        <v>60000</v>
      </c>
      <c r="H20" s="142">
        <v>60000</v>
      </c>
      <c r="J20" s="65">
        <f>IF(J12=0,0,IF(MAX(V12:W12)&lt;=USD!$O$123,MAX(V12:W12),IF(MAX(V14:W14)&lt;=USD!$O$124,MAX(V13:W14),IF(MAX(V16:W16)&lt;=USD!$O$125,MAX(V15:W16),IF(MAX(V18:W18)&lt;=USD!$O$126,MAX(V17:W18),IF(MAX(V20:W20)&lt;=USD!$O$127,MAX(V19:W20),IF(MAX(V22:W22)&lt;=USD!$O$128,MAX(V21:W22),MAX(V23:W24))))))))</f>
        <v>30848</v>
      </c>
      <c r="N20" s="81">
        <f>(B16+$N$8*$J$6)/USD!$Q$127</f>
        <v>35307.17647058824</v>
      </c>
      <c r="O20" s="81">
        <f>B16/USD!$P$127</f>
        <v>37850.76923076923</v>
      </c>
      <c r="P20" s="81">
        <f>(D16+$N$8*$J$6)/USD!$Q$127</f>
        <v>29064.823529411762</v>
      </c>
      <c r="Q20" s="81">
        <f>D16/USD!$P$127</f>
        <v>29687.692307692305</v>
      </c>
      <c r="R20" s="81">
        <f>(F16+$N$8*$J$6)/USD!$Q$127</f>
        <v>41656.58823529412</v>
      </c>
      <c r="S20" s="81">
        <f>F16/USD!$P$127</f>
        <v>46153.84615384615</v>
      </c>
      <c r="V20" s="81">
        <f>(J16+$N$8*$J$6)/USD!$Q$127</f>
        <v>24508.35294117647</v>
      </c>
      <c r="W20" s="81">
        <f>J16/USD!$P$127</f>
        <v>23729.23076923077</v>
      </c>
    </row>
    <row r="21" spans="1:23" ht="9" customHeight="1" thickBot="1" thickTop="1">
      <c r="A21" s="125"/>
      <c r="H21" s="126"/>
      <c r="O21" s="81">
        <f>USD!$O$127+0.01</f>
        <v>270000.01</v>
      </c>
      <c r="Q21" s="81">
        <f>USD!$O$127+0.01</f>
        <v>270000.01</v>
      </c>
      <c r="S21" s="81">
        <f>USD!$O$127+0.01</f>
        <v>270000.01</v>
      </c>
      <c r="W21" s="81">
        <f>USD!$O$127+0.01</f>
        <v>270000.01</v>
      </c>
    </row>
    <row r="22" spans="1:23" s="34" customFormat="1" ht="27" customHeight="1" thickBot="1" thickTop="1">
      <c r="A22" s="31" t="s">
        <v>13</v>
      </c>
      <c r="B22" s="143">
        <f>B12-B14</f>
        <v>225000</v>
      </c>
      <c r="D22" s="143">
        <f>D12-D14</f>
        <v>176470.5882352942</v>
      </c>
      <c r="F22" s="143">
        <f>F12-F14</f>
        <v>274352.8235294118</v>
      </c>
      <c r="H22" s="143">
        <f>H12-H14</f>
        <v>274352.8235294118</v>
      </c>
      <c r="J22" s="68">
        <v>141057</v>
      </c>
      <c r="N22" s="81">
        <f>(B16+$N$8*$J$6)/USD!$Q$128</f>
        <v>33345.666666666664</v>
      </c>
      <c r="O22" s="81">
        <f>B16/USD!$P$128</f>
        <v>35147.14285714286</v>
      </c>
      <c r="P22" s="81">
        <f>(D16+$N$8*$J$6)/USD!$Q$128</f>
        <v>27450.11111111111</v>
      </c>
      <c r="Q22" s="81">
        <f>D16/USD!$P$128</f>
        <v>27567.14285714286</v>
      </c>
      <c r="R22" s="81">
        <f>(F16+$N$8*$J$6)/USD!$Q$128</f>
        <v>39342.33333333333</v>
      </c>
      <c r="S22" s="81">
        <f>F16/USD!$P$128</f>
        <v>42857.14285714286</v>
      </c>
      <c r="T22" s="79"/>
      <c r="U22" s="79"/>
      <c r="V22" s="81">
        <f>(J16+$N$8*$J$6)/USD!$Q$128</f>
        <v>23146.777777777777</v>
      </c>
      <c r="W22" s="81">
        <f>J16/USD!$P$128</f>
        <v>22034.285714285717</v>
      </c>
    </row>
    <row r="23" spans="1:23" ht="9" customHeight="1" thickTop="1">
      <c r="A23" s="86"/>
      <c r="H23" s="128"/>
      <c r="O23" s="81">
        <f>USD!$O$128+0.01</f>
        <v>360000.01</v>
      </c>
      <c r="Q23" s="81">
        <f>USD!$O$128+0.01</f>
        <v>360000.01</v>
      </c>
      <c r="S23" s="81">
        <f>USD!$O$128+0.01</f>
        <v>360000.01</v>
      </c>
      <c r="W23" s="81">
        <f>USD!$O$128+0.01</f>
        <v>360000.01</v>
      </c>
    </row>
    <row r="24" spans="1:23" s="34" customFormat="1" ht="27" customHeight="1">
      <c r="A24" s="38" t="s">
        <v>55</v>
      </c>
      <c r="B24" s="90">
        <f>(B14/POWER(1+$J$4/12,-($D$8-1)))-(B16*(POWER(1+$J$4/12,$D$8-1)-1)/($J$4/12))</f>
        <v>1248677.1897656252</v>
      </c>
      <c r="D24" s="90">
        <f>(D14/POWER(1+$J$4/12,-($D$8-1)))-(D16*(POWER(1+$J$4/12,$D$8-1)-1)/($J$4/12))</f>
        <v>979353.0504687502</v>
      </c>
      <c r="F24" s="90">
        <f>(F14/POWER(1+$J$4/12,-($D$8-1)))-(F16*(POWER(1+$J$4/12,$D$8-1)-1)/($J$4/12))</f>
        <v>1522568.0736445314</v>
      </c>
      <c r="H24" s="90">
        <f>(H14/POWER(1+$J$4/12,-($D$8-1)))-(H16*(POWER(1+$J$4/12,$D$8-1)-1)/($J$4/12))</f>
        <v>1522568.0736445314</v>
      </c>
      <c r="J24" s="90">
        <f>(J14/POWER(1+$J$4/12,-($D$8-1)))-(J16*(POWER(1+$J$4/12,$D$8-1)-1)/($J$4/12))</f>
        <v>782821.0463339844</v>
      </c>
      <c r="N24" s="81">
        <f>(B16+$N$8*$J$6)/USD!$Q$129</f>
        <v>31590.63157894737</v>
      </c>
      <c r="O24" s="81">
        <f>B16/USD!$P$129</f>
        <v>32804</v>
      </c>
      <c r="P24" s="81">
        <f>(D16+$N$8*$J$6)/USD!$Q$129</f>
        <v>26005.36842105263</v>
      </c>
      <c r="Q24" s="81">
        <f>D16/USD!$P$129</f>
        <v>25729.333333333332</v>
      </c>
      <c r="R24" s="81">
        <f>(F16+$N$8*$J$6)/USD!$Q$129</f>
        <v>37271.68421052631</v>
      </c>
      <c r="S24" s="81">
        <f>F16/USD!$P$129</f>
        <v>40000</v>
      </c>
      <c r="T24" s="79"/>
      <c r="U24" s="79"/>
      <c r="V24" s="81">
        <f>(J16+$N$8*$J$6)/USD!$Q$129</f>
        <v>21928.526315789473</v>
      </c>
      <c r="W24" s="81">
        <f>J16/USD!$P$129</f>
        <v>20565.333333333332</v>
      </c>
    </row>
    <row r="25" spans="15:27" ht="12.75">
      <c r="O25" s="24"/>
      <c r="P25" s="25"/>
      <c r="Q25" s="30"/>
      <c r="R25" s="175" t="str">
        <f>USD!R26</f>
        <v>Готовое</v>
      </c>
      <c r="S25" s="175" t="str">
        <f>USD!S26</f>
        <v>Стройка</v>
      </c>
      <c r="T25" s="175" t="str">
        <f>USD!T26</f>
        <v>Нецелевой</v>
      </c>
      <c r="U25" s="199" t="str">
        <f>USD!U26</f>
        <v>Рефинансирование</v>
      </c>
      <c r="V25" s="199"/>
      <c r="W25" s="199" t="str">
        <f>USD!W26</f>
        <v>Сотрудники</v>
      </c>
      <c r="X25" s="199"/>
      <c r="Y25" s="199" t="str">
        <f>USD!Y26</f>
        <v>УЖУ</v>
      </c>
      <c r="Z25" s="199"/>
      <c r="AA25" s="199"/>
    </row>
    <row r="26" spans="15:27" ht="12.75">
      <c r="O26" s="24"/>
      <c r="P26" s="25"/>
      <c r="Q26" s="30"/>
      <c r="R26" s="175"/>
      <c r="S26" s="175"/>
      <c r="T26" s="175"/>
      <c r="U26" s="175" t="str">
        <f>USD!U27</f>
        <v>Готовое</v>
      </c>
      <c r="V26" s="175" t="str">
        <f>USD!V27</f>
        <v>Нецелевой</v>
      </c>
      <c r="W26" s="175" t="str">
        <f>USD!W27</f>
        <v>Готовое</v>
      </c>
      <c r="X26" s="175" t="str">
        <f>USD!X27</f>
        <v>Стройка</v>
      </c>
      <c r="Y26" s="175" t="str">
        <f>USD!Y27</f>
        <v>Собств.</v>
      </c>
      <c r="Z26" s="175" t="str">
        <f>USD!Z27</f>
        <v>Собств.+Покуп.</v>
      </c>
      <c r="AA26" s="175" t="str">
        <f>USD!AA27</f>
        <v>Не продается</v>
      </c>
    </row>
    <row r="27" spans="15:27" ht="11.25">
      <c r="O27" s="87" t="str">
        <f>USD!O28</f>
        <v>Остальные регионы</v>
      </c>
      <c r="P27" s="88">
        <f>USD!P28</f>
        <v>100</v>
      </c>
      <c r="Q27" s="88">
        <f>USD!Q28</f>
        <v>85</v>
      </c>
      <c r="R27" s="176">
        <f>USD!R28</f>
        <v>0.85</v>
      </c>
      <c r="S27" s="176">
        <f>USD!S28</f>
        <v>0.85</v>
      </c>
      <c r="T27" s="176">
        <f>USD!T28</f>
        <v>0.7</v>
      </c>
      <c r="U27" s="176">
        <f>USD!U28</f>
        <v>0.85</v>
      </c>
      <c r="V27" s="176">
        <f>USD!V28</f>
        <v>0.7</v>
      </c>
      <c r="W27" s="176">
        <f>USD!W28</f>
        <v>0.85</v>
      </c>
      <c r="X27" s="176">
        <f>USD!X28</f>
        <v>0.95</v>
      </c>
      <c r="Y27" s="176">
        <f>USD!Y28</f>
        <v>1</v>
      </c>
      <c r="Z27" s="176">
        <f>USD!Z28</f>
        <v>0.9</v>
      </c>
      <c r="AA27" s="176">
        <f>USD!AA28</f>
        <v>0.85</v>
      </c>
    </row>
    <row r="28" spans="15:27" ht="11.25">
      <c r="O28" s="87" t="str">
        <f>USD!O29</f>
        <v>Архангельская область (не включая г. Архангельск)</v>
      </c>
      <c r="P28" s="88">
        <f>USD!P29</f>
        <v>100</v>
      </c>
      <c r="Q28" s="88">
        <f>USD!Q29</f>
        <v>85</v>
      </c>
      <c r="R28" s="176">
        <f>USD!R29</f>
        <v>0.85</v>
      </c>
      <c r="S28" s="176">
        <f>USD!S29</f>
        <v>0.85</v>
      </c>
      <c r="T28" s="176">
        <f>USD!T29</f>
        <v>0.7</v>
      </c>
      <c r="U28" s="176">
        <f>USD!U29</f>
        <v>0.85</v>
      </c>
      <c r="V28" s="176">
        <f>USD!V29</f>
        <v>0.7</v>
      </c>
      <c r="W28" s="176">
        <f>USD!W29</f>
        <v>0.85</v>
      </c>
      <c r="X28" s="176">
        <f>USD!X29</f>
        <v>0.95</v>
      </c>
      <c r="Y28" s="176">
        <f>USD!Y29</f>
        <v>1</v>
      </c>
      <c r="Z28" s="176">
        <f>USD!Z29</f>
        <v>0.9</v>
      </c>
      <c r="AA28" s="176">
        <f>USD!AA29</f>
        <v>0.85</v>
      </c>
    </row>
    <row r="29" spans="15:27" ht="11.25">
      <c r="O29" s="87" t="str">
        <f>USD!O30</f>
        <v>г. Архангельск</v>
      </c>
      <c r="P29" s="88">
        <f>USD!P30</f>
        <v>100</v>
      </c>
      <c r="Q29" s="88">
        <f>USD!Q30</f>
        <v>85</v>
      </c>
      <c r="R29" s="176">
        <f>USD!R30</f>
        <v>0.9</v>
      </c>
      <c r="S29" s="176">
        <f>USD!S30</f>
        <v>0.85</v>
      </c>
      <c r="T29" s="176">
        <f>USD!T30</f>
        <v>0.7</v>
      </c>
      <c r="U29" s="176">
        <f>USD!U30</f>
        <v>0.85</v>
      </c>
      <c r="V29" s="176">
        <f>USD!V30</f>
        <v>0.7</v>
      </c>
      <c r="W29" s="176">
        <f>USD!W30</f>
        <v>0.9</v>
      </c>
      <c r="X29" s="176">
        <f>USD!X30</f>
        <v>0.95</v>
      </c>
      <c r="Y29" s="176">
        <f>USD!Y30</f>
        <v>1</v>
      </c>
      <c r="Z29" s="176">
        <f>USD!Z30</f>
        <v>0.9</v>
      </c>
      <c r="AA29" s="176">
        <f>USD!AA30</f>
        <v>0.85</v>
      </c>
    </row>
    <row r="30" spans="15:27" ht="11.25">
      <c r="O30" s="87" t="str">
        <f>USD!O31</f>
        <v>Астраханская область (не включая г. Астрахань)</v>
      </c>
      <c r="P30" s="88">
        <f>USD!P31</f>
        <v>100</v>
      </c>
      <c r="Q30" s="88">
        <f>USD!Q31</f>
        <v>85</v>
      </c>
      <c r="R30" s="176">
        <f>USD!R31</f>
        <v>0.85</v>
      </c>
      <c r="S30" s="176">
        <f>USD!S31</f>
        <v>0.85</v>
      </c>
      <c r="T30" s="176">
        <f>USD!T31</f>
        <v>0.7</v>
      </c>
      <c r="U30" s="176">
        <f>USD!U31</f>
        <v>0.85</v>
      </c>
      <c r="V30" s="176">
        <f>USD!V31</f>
        <v>0.7</v>
      </c>
      <c r="W30" s="176">
        <f>USD!W31</f>
        <v>0.85</v>
      </c>
      <c r="X30" s="176">
        <f>USD!X31</f>
        <v>0.95</v>
      </c>
      <c r="Y30" s="176">
        <f>USD!Y31</f>
        <v>1</v>
      </c>
      <c r="Z30" s="176">
        <f>USD!Z31</f>
        <v>0.9</v>
      </c>
      <c r="AA30" s="176">
        <f>USD!AA31</f>
        <v>0.85</v>
      </c>
    </row>
    <row r="31" spans="15:27" ht="11.25">
      <c r="O31" s="87" t="str">
        <f>USD!O32</f>
        <v>г. Астрахань</v>
      </c>
      <c r="P31" s="88">
        <f>USD!P32</f>
        <v>100</v>
      </c>
      <c r="Q31" s="88">
        <f>USD!Q32</f>
        <v>85</v>
      </c>
      <c r="R31" s="176">
        <f>USD!R32</f>
        <v>0.9</v>
      </c>
      <c r="S31" s="176">
        <f>USD!S32</f>
        <v>0.85</v>
      </c>
      <c r="T31" s="176">
        <f>USD!T32</f>
        <v>0.7</v>
      </c>
      <c r="U31" s="176">
        <f>USD!U32</f>
        <v>0.85</v>
      </c>
      <c r="V31" s="176">
        <f>USD!V32</f>
        <v>0.7</v>
      </c>
      <c r="W31" s="176">
        <f>USD!W32</f>
        <v>0.9</v>
      </c>
      <c r="X31" s="176">
        <f>USD!X32</f>
        <v>0.95</v>
      </c>
      <c r="Y31" s="176">
        <f>USD!Y32</f>
        <v>1</v>
      </c>
      <c r="Z31" s="176">
        <f>USD!Z32</f>
        <v>0.9</v>
      </c>
      <c r="AA31" s="176">
        <f>USD!AA32</f>
        <v>0.85</v>
      </c>
    </row>
    <row r="32" spans="15:27" ht="11.25">
      <c r="O32" s="87" t="str">
        <f>USD!O33</f>
        <v>Алтайский край (не включая г. Барнаул)</v>
      </c>
      <c r="P32" s="88">
        <f>USD!P33</f>
        <v>100</v>
      </c>
      <c r="Q32" s="88">
        <f>USD!Q33</f>
        <v>85</v>
      </c>
      <c r="R32" s="176">
        <f>USD!R33</f>
        <v>0.85</v>
      </c>
      <c r="S32" s="176">
        <f>USD!S33</f>
        <v>0.85</v>
      </c>
      <c r="T32" s="176">
        <f>USD!T33</f>
        <v>0.7</v>
      </c>
      <c r="U32" s="176">
        <f>USD!U33</f>
        <v>0.85</v>
      </c>
      <c r="V32" s="176">
        <f>USD!V33</f>
        <v>0.7</v>
      </c>
      <c r="W32" s="176">
        <f>USD!W33</f>
        <v>0.85</v>
      </c>
      <c r="X32" s="176">
        <f>USD!X33</f>
        <v>0.95</v>
      </c>
      <c r="Y32" s="176">
        <f>USD!Y33</f>
        <v>1</v>
      </c>
      <c r="Z32" s="176">
        <f>USD!Z33</f>
        <v>0.9</v>
      </c>
      <c r="AA32" s="176">
        <f>USD!AA33</f>
        <v>0.85</v>
      </c>
    </row>
    <row r="33" spans="15:27" ht="11.25">
      <c r="O33" s="87" t="str">
        <f>USD!O34</f>
        <v>г. Барнаул</v>
      </c>
      <c r="P33" s="88">
        <f>USD!P34</f>
        <v>100</v>
      </c>
      <c r="Q33" s="88">
        <f>USD!Q34</f>
        <v>85</v>
      </c>
      <c r="R33" s="176">
        <f>USD!R34</f>
        <v>0.9</v>
      </c>
      <c r="S33" s="176">
        <f>USD!S34</f>
        <v>0.85</v>
      </c>
      <c r="T33" s="176">
        <f>USD!T34</f>
        <v>0.7</v>
      </c>
      <c r="U33" s="176">
        <f>USD!U34</f>
        <v>0.85</v>
      </c>
      <c r="V33" s="176">
        <f>USD!V34</f>
        <v>0.7</v>
      </c>
      <c r="W33" s="176">
        <f>USD!W34</f>
        <v>0.9</v>
      </c>
      <c r="X33" s="176">
        <f>USD!X34</f>
        <v>0.95</v>
      </c>
      <c r="Y33" s="176">
        <f>USD!Y34</f>
        <v>1</v>
      </c>
      <c r="Z33" s="176">
        <f>USD!Z34</f>
        <v>0.9</v>
      </c>
      <c r="AA33" s="176">
        <f>USD!AA34</f>
        <v>0.85</v>
      </c>
    </row>
    <row r="34" spans="15:27" ht="11.25">
      <c r="O34" s="87" t="str">
        <f>USD!O35</f>
        <v>Белгородская область (не включая г. Белгород)</v>
      </c>
      <c r="P34" s="88">
        <f>USD!P35</f>
        <v>100</v>
      </c>
      <c r="Q34" s="88">
        <f>USD!Q35</f>
        <v>85</v>
      </c>
      <c r="R34" s="176">
        <f>USD!R35</f>
        <v>0.85</v>
      </c>
      <c r="S34" s="176">
        <f>USD!S35</f>
        <v>0.85</v>
      </c>
      <c r="T34" s="176">
        <f>USD!T35</f>
        <v>0.7</v>
      </c>
      <c r="U34" s="176">
        <f>USD!U35</f>
        <v>0.85</v>
      </c>
      <c r="V34" s="176">
        <f>USD!V35</f>
        <v>0.7</v>
      </c>
      <c r="W34" s="176">
        <f>USD!W35</f>
        <v>0.85</v>
      </c>
      <c r="X34" s="176">
        <f>USD!X35</f>
        <v>0.95</v>
      </c>
      <c r="Y34" s="176">
        <f>USD!Y35</f>
        <v>1</v>
      </c>
      <c r="Z34" s="176">
        <f>USD!Z35</f>
        <v>0.9</v>
      </c>
      <c r="AA34" s="176">
        <f>USD!AA35</f>
        <v>0.85</v>
      </c>
    </row>
    <row r="35" spans="15:27" ht="11.25">
      <c r="O35" s="87" t="str">
        <f>USD!O36</f>
        <v>г. Белгород</v>
      </c>
      <c r="P35" s="88">
        <f>USD!P36</f>
        <v>100</v>
      </c>
      <c r="Q35" s="88">
        <f>USD!Q36</f>
        <v>85</v>
      </c>
      <c r="R35" s="176">
        <f>USD!R36</f>
        <v>0.9</v>
      </c>
      <c r="S35" s="176">
        <f>USD!S36</f>
        <v>0.85</v>
      </c>
      <c r="T35" s="176">
        <f>USD!T36</f>
        <v>0.7</v>
      </c>
      <c r="U35" s="176">
        <f>USD!U36</f>
        <v>0.85</v>
      </c>
      <c r="V35" s="176">
        <f>USD!V36</f>
        <v>0.7</v>
      </c>
      <c r="W35" s="176">
        <f>USD!W36</f>
        <v>0.9</v>
      </c>
      <c r="X35" s="176">
        <f>USD!X36</f>
        <v>0.95</v>
      </c>
      <c r="Y35" s="176">
        <f>USD!Y36</f>
        <v>1</v>
      </c>
      <c r="Z35" s="176">
        <f>USD!Z36</f>
        <v>0.9</v>
      </c>
      <c r="AA35" s="176">
        <f>USD!AA36</f>
        <v>0.85</v>
      </c>
    </row>
    <row r="36" spans="15:27" ht="11.25">
      <c r="O36" s="87" t="str">
        <f>USD!O37</f>
        <v>Владимирская область (не включая г. Владимир)</v>
      </c>
      <c r="P36" s="88">
        <f>USD!P37</f>
        <v>100</v>
      </c>
      <c r="Q36" s="88">
        <f>USD!Q37</f>
        <v>85</v>
      </c>
      <c r="R36" s="176">
        <f>USD!R37</f>
        <v>0.85</v>
      </c>
      <c r="S36" s="176">
        <f>USD!S37</f>
        <v>0.85</v>
      </c>
      <c r="T36" s="176">
        <f>USD!T37</f>
        <v>0.7</v>
      </c>
      <c r="U36" s="176">
        <f>USD!U37</f>
        <v>0.85</v>
      </c>
      <c r="V36" s="176">
        <f>USD!V37</f>
        <v>0.7</v>
      </c>
      <c r="W36" s="176">
        <f>USD!W37</f>
        <v>0.85</v>
      </c>
      <c r="X36" s="176">
        <f>USD!X37</f>
        <v>0.95</v>
      </c>
      <c r="Y36" s="176">
        <f>USD!Y37</f>
        <v>1</v>
      </c>
      <c r="Z36" s="176">
        <f>USD!Z37</f>
        <v>0.9</v>
      </c>
      <c r="AA36" s="176">
        <f>USD!AA37</f>
        <v>0.85</v>
      </c>
    </row>
    <row r="37" spans="15:27" ht="11.25">
      <c r="O37" s="87" t="str">
        <f>USD!O38</f>
        <v>г. Владимир</v>
      </c>
      <c r="P37" s="88">
        <f>USD!P38</f>
        <v>100</v>
      </c>
      <c r="Q37" s="88">
        <f>USD!Q38</f>
        <v>85</v>
      </c>
      <c r="R37" s="176">
        <f>USD!R38</f>
        <v>0.9</v>
      </c>
      <c r="S37" s="176">
        <f>USD!S38</f>
        <v>0.85</v>
      </c>
      <c r="T37" s="176">
        <f>USD!T38</f>
        <v>0.7</v>
      </c>
      <c r="U37" s="176">
        <f>USD!U38</f>
        <v>0.85</v>
      </c>
      <c r="V37" s="176">
        <f>USD!V38</f>
        <v>0.7</v>
      </c>
      <c r="W37" s="176">
        <f>USD!W38</f>
        <v>0.9</v>
      </c>
      <c r="X37" s="176">
        <f>USD!X38</f>
        <v>0.95</v>
      </c>
      <c r="Y37" s="176">
        <f>USD!Y38</f>
        <v>1</v>
      </c>
      <c r="Z37" s="176">
        <f>USD!Z38</f>
        <v>0.9</v>
      </c>
      <c r="AA37" s="176">
        <f>USD!AA38</f>
        <v>0.85</v>
      </c>
    </row>
    <row r="38" spans="15:27" ht="11.25">
      <c r="O38" s="87" t="str">
        <f>USD!O39</f>
        <v>Волгоградская область (не включая г. Волгоград)</v>
      </c>
      <c r="P38" s="88">
        <f>USD!P39</f>
        <v>100</v>
      </c>
      <c r="Q38" s="88">
        <f>USD!Q39</f>
        <v>85</v>
      </c>
      <c r="R38" s="176">
        <f>USD!R39</f>
        <v>0.85</v>
      </c>
      <c r="S38" s="176">
        <f>USD!S39</f>
        <v>0.85</v>
      </c>
      <c r="T38" s="176">
        <f>USD!T39</f>
        <v>0.7</v>
      </c>
      <c r="U38" s="176">
        <f>USD!U39</f>
        <v>0.85</v>
      </c>
      <c r="V38" s="176">
        <f>USD!V39</f>
        <v>0.7</v>
      </c>
      <c r="W38" s="176">
        <f>USD!W39</f>
        <v>0.85</v>
      </c>
      <c r="X38" s="176">
        <f>USD!X39</f>
        <v>0.95</v>
      </c>
      <c r="Y38" s="176">
        <f>USD!Y39</f>
        <v>1</v>
      </c>
      <c r="Z38" s="176">
        <f>USD!Z39</f>
        <v>0.9</v>
      </c>
      <c r="AA38" s="176">
        <f>USD!AA39</f>
        <v>0.85</v>
      </c>
    </row>
    <row r="39" spans="15:27" ht="11.25">
      <c r="O39" s="87" t="str">
        <f>USD!O40</f>
        <v>г. Волгоград</v>
      </c>
      <c r="P39" s="88">
        <f>USD!P40</f>
        <v>100</v>
      </c>
      <c r="Q39" s="88">
        <f>USD!Q40</f>
        <v>85</v>
      </c>
      <c r="R39" s="176">
        <f>USD!R40</f>
        <v>0.9</v>
      </c>
      <c r="S39" s="176">
        <f>USD!S40</f>
        <v>0.85</v>
      </c>
      <c r="T39" s="176">
        <f>USD!T40</f>
        <v>0.7</v>
      </c>
      <c r="U39" s="176">
        <f>USD!U40</f>
        <v>0.85</v>
      </c>
      <c r="V39" s="176">
        <f>USD!V40</f>
        <v>0.7</v>
      </c>
      <c r="W39" s="176">
        <f>USD!W40</f>
        <v>0.9</v>
      </c>
      <c r="X39" s="176">
        <f>USD!X40</f>
        <v>0.95</v>
      </c>
      <c r="Y39" s="176">
        <f>USD!Y40</f>
        <v>1</v>
      </c>
      <c r="Z39" s="176">
        <f>USD!Z40</f>
        <v>0.9</v>
      </c>
      <c r="AA39" s="176">
        <f>USD!AA40</f>
        <v>0.85</v>
      </c>
    </row>
    <row r="40" spans="15:27" ht="11.25">
      <c r="O40" s="87" t="str">
        <f>USD!O41</f>
        <v>г. Вологда</v>
      </c>
      <c r="P40" s="88">
        <f>USD!P41</f>
        <v>120</v>
      </c>
      <c r="Q40" s="88">
        <f>USD!Q41</f>
        <v>100</v>
      </c>
      <c r="R40" s="176">
        <f>USD!R41</f>
        <v>0.9</v>
      </c>
      <c r="S40" s="176">
        <f>USD!S41</f>
        <v>0.85</v>
      </c>
      <c r="T40" s="176">
        <f>USD!T41</f>
        <v>0.7</v>
      </c>
      <c r="U40" s="176">
        <f>USD!U41</f>
        <v>0.85</v>
      </c>
      <c r="V40" s="176">
        <f>USD!V41</f>
        <v>0.7</v>
      </c>
      <c r="W40" s="176">
        <f>USD!W41</f>
        <v>0.9</v>
      </c>
      <c r="X40" s="176">
        <f>USD!X41</f>
        <v>0.95</v>
      </c>
      <c r="Y40" s="176">
        <f>USD!Y41</f>
        <v>1</v>
      </c>
      <c r="Z40" s="176">
        <f>USD!Z41</f>
        <v>0.9</v>
      </c>
      <c r="AA40" s="176">
        <f>USD!AA41</f>
        <v>0.85</v>
      </c>
    </row>
    <row r="41" spans="15:27" ht="11.25">
      <c r="O41" s="87" t="str">
        <f>USD!O42</f>
        <v>Воронежская область (включая г. Воронеж)</v>
      </c>
      <c r="P41" s="88">
        <f>USD!P42</f>
        <v>100</v>
      </c>
      <c r="Q41" s="88">
        <f>USD!Q42</f>
        <v>85</v>
      </c>
      <c r="R41" s="176">
        <f>USD!R42</f>
        <v>0.85</v>
      </c>
      <c r="S41" s="176">
        <f>USD!S42</f>
        <v>0.85</v>
      </c>
      <c r="T41" s="176">
        <f>USD!T42</f>
        <v>0.7</v>
      </c>
      <c r="U41" s="176">
        <f>USD!U42</f>
        <v>0.85</v>
      </c>
      <c r="V41" s="176">
        <f>USD!V42</f>
        <v>0.7</v>
      </c>
      <c r="W41" s="176">
        <f>USD!W42</f>
        <v>0.85</v>
      </c>
      <c r="X41" s="176">
        <f>USD!X42</f>
        <v>0.95</v>
      </c>
      <c r="Y41" s="176">
        <f>USD!Y42</f>
        <v>1</v>
      </c>
      <c r="Z41" s="176">
        <f>USD!Z42</f>
        <v>0.9</v>
      </c>
      <c r="AA41" s="176">
        <f>USD!AA42</f>
        <v>0.85</v>
      </c>
    </row>
    <row r="42" spans="15:27" ht="11.25">
      <c r="O42" s="87" t="str">
        <f>USD!O43</f>
        <v>Иркутская область (не включая г. Иркутск и г. Ангарск)</v>
      </c>
      <c r="P42" s="88">
        <f>USD!P43</f>
        <v>120</v>
      </c>
      <c r="Q42" s="88">
        <f>USD!Q43</f>
        <v>100</v>
      </c>
      <c r="R42" s="176">
        <f>USD!R43</f>
        <v>0.85</v>
      </c>
      <c r="S42" s="176">
        <f>USD!S43</f>
        <v>0.85</v>
      </c>
      <c r="T42" s="176">
        <f>USD!T43</f>
        <v>0.7</v>
      </c>
      <c r="U42" s="176">
        <f>USD!U43</f>
        <v>0.85</v>
      </c>
      <c r="V42" s="176">
        <f>USD!V43</f>
        <v>0.7</v>
      </c>
      <c r="W42" s="176">
        <f>USD!W43</f>
        <v>0.85</v>
      </c>
      <c r="X42" s="176">
        <f>USD!X43</f>
        <v>0.95</v>
      </c>
      <c r="Y42" s="176">
        <f>USD!Y43</f>
        <v>1</v>
      </c>
      <c r="Z42" s="176">
        <f>USD!Z43</f>
        <v>0.9</v>
      </c>
      <c r="AA42" s="176">
        <f>USD!AA43</f>
        <v>0.85</v>
      </c>
    </row>
    <row r="43" spans="15:27" ht="11.25">
      <c r="O43" s="87" t="str">
        <f>USD!O44</f>
        <v>г. Иркутск</v>
      </c>
      <c r="P43" s="88">
        <f>USD!P44</f>
        <v>120</v>
      </c>
      <c r="Q43" s="88">
        <f>USD!Q44</f>
        <v>100</v>
      </c>
      <c r="R43" s="176">
        <f>USD!R44</f>
        <v>0.9</v>
      </c>
      <c r="S43" s="176">
        <f>USD!S44</f>
        <v>0.85</v>
      </c>
      <c r="T43" s="176">
        <f>USD!T44</f>
        <v>0.7</v>
      </c>
      <c r="U43" s="176">
        <f>USD!U44</f>
        <v>0.85</v>
      </c>
      <c r="V43" s="176">
        <f>USD!V44</f>
        <v>0.7</v>
      </c>
      <c r="W43" s="176">
        <f>USD!W44</f>
        <v>0.9</v>
      </c>
      <c r="X43" s="176">
        <f>USD!X44</f>
        <v>0.95</v>
      </c>
      <c r="Y43" s="176">
        <f>USD!Y44</f>
        <v>1</v>
      </c>
      <c r="Z43" s="176">
        <f>USD!Z44</f>
        <v>0.9</v>
      </c>
      <c r="AA43" s="176">
        <f>USD!AA44</f>
        <v>0.85</v>
      </c>
    </row>
    <row r="44" spans="15:27" ht="11.25">
      <c r="O44" s="87" t="str">
        <f>USD!O45</f>
        <v>г. Ангарск</v>
      </c>
      <c r="P44" s="88">
        <f>USD!P45</f>
        <v>120</v>
      </c>
      <c r="Q44" s="88">
        <f>USD!Q45</f>
        <v>100</v>
      </c>
      <c r="R44" s="176">
        <f>USD!R45</f>
        <v>0.9</v>
      </c>
      <c r="S44" s="176">
        <f>USD!S45</f>
        <v>0.85</v>
      </c>
      <c r="T44" s="176">
        <f>USD!T45</f>
        <v>0.7</v>
      </c>
      <c r="U44" s="176">
        <f>USD!U45</f>
        <v>0.85</v>
      </c>
      <c r="V44" s="176">
        <f>USD!V45</f>
        <v>0.7</v>
      </c>
      <c r="W44" s="176">
        <f>USD!W45</f>
        <v>0.9</v>
      </c>
      <c r="X44" s="176">
        <f>USD!X45</f>
        <v>0.95</v>
      </c>
      <c r="Y44" s="176">
        <f>USD!Y45</f>
        <v>1</v>
      </c>
      <c r="Z44" s="176">
        <f>USD!Z45</f>
        <v>0.9</v>
      </c>
      <c r="AA44" s="176">
        <f>USD!AA45</f>
        <v>0.85</v>
      </c>
    </row>
    <row r="45" spans="15:27" ht="11.25">
      <c r="O45" s="87" t="str">
        <f>USD!O46</f>
        <v>Калининградская область (не включая г. Калининград)</v>
      </c>
      <c r="P45" s="88">
        <f>USD!P46</f>
        <v>100</v>
      </c>
      <c r="Q45" s="88">
        <f>USD!Q46</f>
        <v>85</v>
      </c>
      <c r="R45" s="176">
        <f>USD!R46</f>
        <v>0.85</v>
      </c>
      <c r="S45" s="176">
        <f>USD!S46</f>
        <v>0.85</v>
      </c>
      <c r="T45" s="176">
        <f>USD!T46</f>
        <v>0.7</v>
      </c>
      <c r="U45" s="176">
        <f>USD!U46</f>
        <v>0.85</v>
      </c>
      <c r="V45" s="176">
        <f>USD!V46</f>
        <v>0.7</v>
      </c>
      <c r="W45" s="176">
        <f>USD!W46</f>
        <v>0.85</v>
      </c>
      <c r="X45" s="176">
        <f>USD!X46</f>
        <v>0.95</v>
      </c>
      <c r="Y45" s="176">
        <f>USD!Y46</f>
        <v>1</v>
      </c>
      <c r="Z45" s="176">
        <f>USD!Z46</f>
        <v>0.9</v>
      </c>
      <c r="AA45" s="176">
        <f>USD!AA46</f>
        <v>0.85</v>
      </c>
    </row>
    <row r="46" spans="15:27" ht="11.25">
      <c r="O46" s="87" t="str">
        <f>USD!O47</f>
        <v>г. Калининград</v>
      </c>
      <c r="P46" s="88">
        <f>USD!P47</f>
        <v>100</v>
      </c>
      <c r="Q46" s="88">
        <f>USD!Q47</f>
        <v>85</v>
      </c>
      <c r="R46" s="176">
        <f>USD!R47</f>
        <v>0.9</v>
      </c>
      <c r="S46" s="176">
        <f>USD!S47</f>
        <v>0.85</v>
      </c>
      <c r="T46" s="176">
        <f>USD!T47</f>
        <v>0.7</v>
      </c>
      <c r="U46" s="176">
        <f>USD!U47</f>
        <v>0.85</v>
      </c>
      <c r="V46" s="176">
        <f>USD!V47</f>
        <v>0.7</v>
      </c>
      <c r="W46" s="176">
        <f>USD!W47</f>
        <v>0.9</v>
      </c>
      <c r="X46" s="176">
        <f>USD!X47</f>
        <v>0.95</v>
      </c>
      <c r="Y46" s="176">
        <f>USD!Y47</f>
        <v>1</v>
      </c>
      <c r="Z46" s="176">
        <f>USD!Z47</f>
        <v>0.9</v>
      </c>
      <c r="AA46" s="176">
        <f>USD!AA47</f>
        <v>0.85</v>
      </c>
    </row>
    <row r="47" spans="15:27" ht="11.25">
      <c r="O47" s="87" t="str">
        <f>USD!O48</f>
        <v>Кемеровская область (не включая г. Кемерово)</v>
      </c>
      <c r="P47" s="88">
        <f>USD!P48</f>
        <v>100</v>
      </c>
      <c r="Q47" s="88">
        <f>USD!Q48</f>
        <v>85</v>
      </c>
      <c r="R47" s="176">
        <f>USD!R48</f>
        <v>0.85</v>
      </c>
      <c r="S47" s="176">
        <f>USD!S48</f>
        <v>0.85</v>
      </c>
      <c r="T47" s="176">
        <f>USD!T48</f>
        <v>0.7</v>
      </c>
      <c r="U47" s="176">
        <f>USD!U48</f>
        <v>0.85</v>
      </c>
      <c r="V47" s="176">
        <f>USD!V48</f>
        <v>0.7</v>
      </c>
      <c r="W47" s="176">
        <f>USD!W48</f>
        <v>0.85</v>
      </c>
      <c r="X47" s="176">
        <f>USD!X48</f>
        <v>0.95</v>
      </c>
      <c r="Y47" s="176">
        <f>USD!Y48</f>
        <v>1</v>
      </c>
      <c r="Z47" s="176">
        <f>USD!Z48</f>
        <v>0.9</v>
      </c>
      <c r="AA47" s="176">
        <f>USD!AA48</f>
        <v>0.85</v>
      </c>
    </row>
    <row r="48" spans="15:27" ht="11.25">
      <c r="O48" s="87" t="str">
        <f>USD!O49</f>
        <v>г. Кемерово</v>
      </c>
      <c r="P48" s="88">
        <f>USD!P49</f>
        <v>100</v>
      </c>
      <c r="Q48" s="88">
        <f>USD!Q49</f>
        <v>85</v>
      </c>
      <c r="R48" s="176">
        <f>USD!R49</f>
        <v>0.9</v>
      </c>
      <c r="S48" s="176">
        <f>USD!S49</f>
        <v>0.85</v>
      </c>
      <c r="T48" s="176">
        <f>USD!T49</f>
        <v>0.7</v>
      </c>
      <c r="U48" s="176">
        <f>USD!U49</f>
        <v>0.85</v>
      </c>
      <c r="V48" s="176">
        <f>USD!V49</f>
        <v>0.7</v>
      </c>
      <c r="W48" s="176">
        <f>USD!W49</f>
        <v>0.9</v>
      </c>
      <c r="X48" s="176">
        <f>USD!X49</f>
        <v>0.95</v>
      </c>
      <c r="Y48" s="176">
        <f>USD!Y49</f>
        <v>1</v>
      </c>
      <c r="Z48" s="176">
        <f>USD!Z49</f>
        <v>0.9</v>
      </c>
      <c r="AA48" s="176">
        <f>USD!AA49</f>
        <v>0.85</v>
      </c>
    </row>
    <row r="49" spans="15:27" ht="11.25">
      <c r="O49" s="87" t="str">
        <f>USD!O50</f>
        <v>Костромская область (не включая г. Кострома)</v>
      </c>
      <c r="P49" s="88">
        <f>USD!P50</f>
        <v>100</v>
      </c>
      <c r="Q49" s="88">
        <f>USD!Q50</f>
        <v>85</v>
      </c>
      <c r="R49" s="176">
        <f>USD!R50</f>
        <v>0.85</v>
      </c>
      <c r="S49" s="176">
        <f>USD!S50</f>
        <v>0.85</v>
      </c>
      <c r="T49" s="176">
        <f>USD!T50</f>
        <v>0.7</v>
      </c>
      <c r="U49" s="176">
        <f>USD!U50</f>
        <v>0.85</v>
      </c>
      <c r="V49" s="176">
        <f>USD!V50</f>
        <v>0.7</v>
      </c>
      <c r="W49" s="176">
        <f>USD!W50</f>
        <v>0.85</v>
      </c>
      <c r="X49" s="176">
        <f>USD!X50</f>
        <v>0.95</v>
      </c>
      <c r="Y49" s="176">
        <f>USD!Y50</f>
        <v>1</v>
      </c>
      <c r="Z49" s="176">
        <f>USD!Z50</f>
        <v>0.9</v>
      </c>
      <c r="AA49" s="176">
        <f>USD!AA50</f>
        <v>0.85</v>
      </c>
    </row>
    <row r="50" spans="15:27" ht="11.25">
      <c r="O50" s="87" t="str">
        <f>USD!O51</f>
        <v>г. Кострома</v>
      </c>
      <c r="P50" s="88">
        <f>USD!P51</f>
        <v>100</v>
      </c>
      <c r="Q50" s="88">
        <f>USD!Q51</f>
        <v>85</v>
      </c>
      <c r="R50" s="176">
        <f>USD!R51</f>
        <v>0.9</v>
      </c>
      <c r="S50" s="176">
        <f>USD!S51</f>
        <v>0.85</v>
      </c>
      <c r="T50" s="176">
        <f>USD!T51</f>
        <v>0.7</v>
      </c>
      <c r="U50" s="176">
        <f>USD!U51</f>
        <v>0.85</v>
      </c>
      <c r="V50" s="176">
        <f>USD!V51</f>
        <v>0.7</v>
      </c>
      <c r="W50" s="176">
        <f>USD!W51</f>
        <v>0.9</v>
      </c>
      <c r="X50" s="176">
        <f>USD!X51</f>
        <v>0.95</v>
      </c>
      <c r="Y50" s="176">
        <f>USD!Y51</f>
        <v>1</v>
      </c>
      <c r="Z50" s="176">
        <f>USD!Z51</f>
        <v>0.9</v>
      </c>
      <c r="AA50" s="176">
        <f>USD!AA51</f>
        <v>0.85</v>
      </c>
    </row>
    <row r="51" spans="15:27" ht="11.25">
      <c r="O51" s="87" t="str">
        <f>USD!O52</f>
        <v>Краснодарский край (не включая г. Краснодар и г. Сочи)</v>
      </c>
      <c r="P51" s="88">
        <f>USD!P52</f>
        <v>100</v>
      </c>
      <c r="Q51" s="88">
        <f>USD!Q52</f>
        <v>85</v>
      </c>
      <c r="R51" s="176">
        <f>USD!R52</f>
        <v>0.85</v>
      </c>
      <c r="S51" s="176">
        <f>USD!S52</f>
        <v>0.85</v>
      </c>
      <c r="T51" s="176">
        <f>USD!T52</f>
        <v>0.7</v>
      </c>
      <c r="U51" s="176">
        <f>USD!U52</f>
        <v>0.85</v>
      </c>
      <c r="V51" s="176">
        <f>USD!V52</f>
        <v>0.7</v>
      </c>
      <c r="W51" s="176">
        <f>USD!W52</f>
        <v>0.85</v>
      </c>
      <c r="X51" s="176">
        <f>USD!X52</f>
        <v>0.95</v>
      </c>
      <c r="Y51" s="176">
        <f>USD!Y52</f>
        <v>1</v>
      </c>
      <c r="Z51" s="176">
        <f>USD!Z52</f>
        <v>0.9</v>
      </c>
      <c r="AA51" s="176">
        <f>USD!AA52</f>
        <v>0.85</v>
      </c>
    </row>
    <row r="52" spans="15:27" ht="11.25">
      <c r="O52" s="87" t="str">
        <f>USD!O53</f>
        <v>г. Краснодар</v>
      </c>
      <c r="P52" s="88">
        <f>USD!P53</f>
        <v>100</v>
      </c>
      <c r="Q52" s="88">
        <f>USD!Q53</f>
        <v>85</v>
      </c>
      <c r="R52" s="176">
        <f>USD!R53</f>
        <v>0.9</v>
      </c>
      <c r="S52" s="176">
        <f>USD!S53</f>
        <v>0.85</v>
      </c>
      <c r="T52" s="176">
        <f>USD!T53</f>
        <v>0.7</v>
      </c>
      <c r="U52" s="176">
        <f>USD!U53</f>
        <v>0.85</v>
      </c>
      <c r="V52" s="176">
        <f>USD!V53</f>
        <v>0.7</v>
      </c>
      <c r="W52" s="176">
        <f>USD!W53</f>
        <v>0.9</v>
      </c>
      <c r="X52" s="176">
        <f>USD!X53</f>
        <v>0.95</v>
      </c>
      <c r="Y52" s="176">
        <f>USD!Y53</f>
        <v>1</v>
      </c>
      <c r="Z52" s="176">
        <f>USD!Z53</f>
        <v>0.9</v>
      </c>
      <c r="AA52" s="176">
        <f>USD!AA53</f>
        <v>0.85</v>
      </c>
    </row>
    <row r="53" spans="15:27" ht="11.25">
      <c r="O53" s="87" t="str">
        <f>USD!O54</f>
        <v>г. Сочи</v>
      </c>
      <c r="P53" s="88">
        <f>USD!P54</f>
        <v>100</v>
      </c>
      <c r="Q53" s="88">
        <f>USD!Q54</f>
        <v>85</v>
      </c>
      <c r="R53" s="176">
        <f>USD!R54</f>
        <v>0.9</v>
      </c>
      <c r="S53" s="176">
        <f>USD!S54</f>
        <v>0.85</v>
      </c>
      <c r="T53" s="176">
        <f>USD!T54</f>
        <v>0.7</v>
      </c>
      <c r="U53" s="176">
        <f>USD!U54</f>
        <v>0.85</v>
      </c>
      <c r="V53" s="176">
        <f>USD!V54</f>
        <v>0.7</v>
      </c>
      <c r="W53" s="176">
        <f>USD!W54</f>
        <v>0.9</v>
      </c>
      <c r="X53" s="176">
        <f>USD!X54</f>
        <v>0.95</v>
      </c>
      <c r="Y53" s="176">
        <f>USD!Y54</f>
        <v>1</v>
      </c>
      <c r="Z53" s="176">
        <f>USD!Z54</f>
        <v>0.9</v>
      </c>
      <c r="AA53" s="176">
        <f>USD!AA54</f>
        <v>0.85</v>
      </c>
    </row>
    <row r="54" spans="15:27" ht="11.25">
      <c r="O54" s="87" t="str">
        <f>USD!O55</f>
        <v>Красноярский край (не включая г. Красноярск)</v>
      </c>
      <c r="P54" s="88">
        <f>USD!P55</f>
        <v>100</v>
      </c>
      <c r="Q54" s="88">
        <f>USD!Q55</f>
        <v>85</v>
      </c>
      <c r="R54" s="176">
        <f>USD!R55</f>
        <v>0.85</v>
      </c>
      <c r="S54" s="176">
        <f>USD!S55</f>
        <v>0.85</v>
      </c>
      <c r="T54" s="176">
        <f>USD!T55</f>
        <v>0.7</v>
      </c>
      <c r="U54" s="176">
        <f>USD!U55</f>
        <v>0.85</v>
      </c>
      <c r="V54" s="176">
        <f>USD!V55</f>
        <v>0.7</v>
      </c>
      <c r="W54" s="176">
        <f>USD!W55</f>
        <v>0.85</v>
      </c>
      <c r="X54" s="176">
        <f>USD!X55</f>
        <v>0.95</v>
      </c>
      <c r="Y54" s="176">
        <f>USD!Y55</f>
        <v>1</v>
      </c>
      <c r="Z54" s="176">
        <f>USD!Z55</f>
        <v>0.9</v>
      </c>
      <c r="AA54" s="176">
        <f>USD!AA55</f>
        <v>0.85</v>
      </c>
    </row>
    <row r="55" spans="15:27" ht="11.25">
      <c r="O55" s="87" t="str">
        <f>USD!O56</f>
        <v>г. Красноярск</v>
      </c>
      <c r="P55" s="88">
        <f>USD!P56</f>
        <v>100</v>
      </c>
      <c r="Q55" s="88">
        <f>USD!Q56</f>
        <v>85</v>
      </c>
      <c r="R55" s="176">
        <f>USD!R56</f>
        <v>1</v>
      </c>
      <c r="S55" s="176">
        <f>USD!S56</f>
        <v>0.95</v>
      </c>
      <c r="T55" s="176">
        <f>USD!T56</f>
        <v>0.9</v>
      </c>
      <c r="U55" s="176">
        <f>USD!U56</f>
        <v>0.95</v>
      </c>
      <c r="V55" s="176">
        <f>USD!V56</f>
        <v>0.95</v>
      </c>
      <c r="W55" s="176">
        <f>USD!W56</f>
        <v>1</v>
      </c>
      <c r="X55" s="176">
        <f>USD!X56</f>
        <v>0.95</v>
      </c>
      <c r="Y55" s="176">
        <f>USD!Y56</f>
        <v>1</v>
      </c>
      <c r="Z55" s="176">
        <f>USD!Z56</f>
        <v>0.9</v>
      </c>
      <c r="AA55" s="176">
        <f>USD!AA56</f>
        <v>0.85</v>
      </c>
    </row>
    <row r="56" spans="15:27" ht="11.25">
      <c r="O56" s="87" t="str">
        <f>USD!O57</f>
        <v>Курская область (не включая г. Курск)</v>
      </c>
      <c r="P56" s="88">
        <f>USD!P57</f>
        <v>100</v>
      </c>
      <c r="Q56" s="88">
        <f>USD!Q57</f>
        <v>85</v>
      </c>
      <c r="R56" s="176">
        <f>USD!R57</f>
        <v>0.85</v>
      </c>
      <c r="S56" s="176">
        <f>USD!S57</f>
        <v>0.85</v>
      </c>
      <c r="T56" s="176">
        <f>USD!T57</f>
        <v>0.7</v>
      </c>
      <c r="U56" s="176">
        <f>USD!U57</f>
        <v>0.85</v>
      </c>
      <c r="V56" s="176">
        <f>USD!V57</f>
        <v>0.7</v>
      </c>
      <c r="W56" s="176">
        <f>USD!W57</f>
        <v>0.85</v>
      </c>
      <c r="X56" s="176">
        <f>USD!X57</f>
        <v>0.95</v>
      </c>
      <c r="Y56" s="176">
        <f>USD!Y57</f>
        <v>1</v>
      </c>
      <c r="Z56" s="176">
        <f>USD!Z57</f>
        <v>0.9</v>
      </c>
      <c r="AA56" s="176">
        <f>USD!AA57</f>
        <v>0.85</v>
      </c>
    </row>
    <row r="57" spans="15:27" ht="11.25">
      <c r="O57" s="87" t="str">
        <f>USD!O58</f>
        <v>г. Курск</v>
      </c>
      <c r="P57" s="88">
        <f>USD!P58</f>
        <v>100</v>
      </c>
      <c r="Q57" s="88">
        <f>USD!Q58</f>
        <v>85</v>
      </c>
      <c r="R57" s="176">
        <f>USD!R58</f>
        <v>0.9</v>
      </c>
      <c r="S57" s="176">
        <f>USD!S58</f>
        <v>0.85</v>
      </c>
      <c r="T57" s="176">
        <f>USD!T58</f>
        <v>0.7</v>
      </c>
      <c r="U57" s="176">
        <f>USD!U58</f>
        <v>0.85</v>
      </c>
      <c r="V57" s="176">
        <f>USD!V58</f>
        <v>0.7</v>
      </c>
      <c r="W57" s="176">
        <f>USD!W58</f>
        <v>0.9</v>
      </c>
      <c r="X57" s="176">
        <f>USD!X58</f>
        <v>0.95</v>
      </c>
      <c r="Y57" s="176">
        <f>USD!Y58</f>
        <v>1</v>
      </c>
      <c r="Z57" s="176">
        <f>USD!Z58</f>
        <v>0.9</v>
      </c>
      <c r="AA57" s="176">
        <f>USD!AA58</f>
        <v>0.85</v>
      </c>
    </row>
    <row r="58" spans="15:27" ht="11.25">
      <c r="O58" s="87" t="str">
        <f>USD!O59</f>
        <v>Ленинградская область (включая г. Санкт-Петербург)</v>
      </c>
      <c r="P58" s="88">
        <f>USD!P59</f>
        <v>120</v>
      </c>
      <c r="Q58" s="88">
        <f>USD!Q59</f>
        <v>100</v>
      </c>
      <c r="R58" s="176">
        <f>USD!R59</f>
        <v>1</v>
      </c>
      <c r="S58" s="176">
        <f>USD!S59</f>
        <v>0.95</v>
      </c>
      <c r="T58" s="176">
        <f>USD!T59</f>
        <v>0.9</v>
      </c>
      <c r="U58" s="176">
        <f>USD!U59</f>
        <v>0.95</v>
      </c>
      <c r="V58" s="176">
        <f>USD!V59</f>
        <v>0.95</v>
      </c>
      <c r="W58" s="176">
        <f>USD!W59</f>
        <v>1</v>
      </c>
      <c r="X58" s="176">
        <f>USD!X59</f>
        <v>0.95</v>
      </c>
      <c r="Y58" s="176">
        <f>USD!Y59</f>
        <v>1</v>
      </c>
      <c r="Z58" s="176">
        <f>USD!Z59</f>
        <v>0.9</v>
      </c>
      <c r="AA58" s="176">
        <f>USD!AA59</f>
        <v>0.85</v>
      </c>
    </row>
    <row r="59" spans="15:27" ht="11.25">
      <c r="O59" s="87" t="str">
        <f>USD!O60</f>
        <v>Липецкая область (не включая г. Липецк)</v>
      </c>
      <c r="P59" s="88">
        <f>USD!P60</f>
        <v>100</v>
      </c>
      <c r="Q59" s="88">
        <f>USD!Q60</f>
        <v>85</v>
      </c>
      <c r="R59" s="176">
        <f>USD!R60</f>
        <v>0.85</v>
      </c>
      <c r="S59" s="176">
        <f>USD!S60</f>
        <v>0.85</v>
      </c>
      <c r="T59" s="176">
        <f>USD!T60</f>
        <v>0.7</v>
      </c>
      <c r="U59" s="176">
        <f>USD!U60</f>
        <v>0.85</v>
      </c>
      <c r="V59" s="176">
        <f>USD!V60</f>
        <v>0.7</v>
      </c>
      <c r="W59" s="176">
        <f>USD!W60</f>
        <v>0.85</v>
      </c>
      <c r="X59" s="176">
        <f>USD!X60</f>
        <v>0.95</v>
      </c>
      <c r="Y59" s="176">
        <f>USD!Y60</f>
        <v>1</v>
      </c>
      <c r="Z59" s="176">
        <f>USD!Z60</f>
        <v>0.9</v>
      </c>
      <c r="AA59" s="176">
        <f>USD!AA60</f>
        <v>0.85</v>
      </c>
    </row>
    <row r="60" spans="15:27" ht="11.25">
      <c r="O60" s="87" t="str">
        <f>USD!O61</f>
        <v>г. Липецк</v>
      </c>
      <c r="P60" s="88">
        <f>USD!P61</f>
        <v>100</v>
      </c>
      <c r="Q60" s="88">
        <f>USD!Q61</f>
        <v>85</v>
      </c>
      <c r="R60" s="176">
        <f>USD!R61</f>
        <v>0.9</v>
      </c>
      <c r="S60" s="176">
        <f>USD!S61</f>
        <v>0.85</v>
      </c>
      <c r="T60" s="176">
        <f>USD!T61</f>
        <v>0.7</v>
      </c>
      <c r="U60" s="176">
        <f>USD!U61</f>
        <v>0.85</v>
      </c>
      <c r="V60" s="176">
        <f>USD!V61</f>
        <v>0.7</v>
      </c>
      <c r="W60" s="176">
        <f>USD!W61</f>
        <v>0.9</v>
      </c>
      <c r="X60" s="176">
        <f>USD!X61</f>
        <v>0.95</v>
      </c>
      <c r="Y60" s="176">
        <f>USD!Y61</f>
        <v>1</v>
      </c>
      <c r="Z60" s="176">
        <f>USD!Z61</f>
        <v>0.9</v>
      </c>
      <c r="AA60" s="176">
        <f>USD!AA61</f>
        <v>0.85</v>
      </c>
    </row>
    <row r="61" spans="15:27" ht="11.25">
      <c r="O61" s="87" t="str">
        <f>USD!O62</f>
        <v>Нижегородская область (не включая г. Нижний Новгород)</v>
      </c>
      <c r="P61" s="88">
        <f>USD!P62</f>
        <v>100</v>
      </c>
      <c r="Q61" s="88">
        <f>USD!Q62</f>
        <v>85</v>
      </c>
      <c r="R61" s="176">
        <f>USD!R62</f>
        <v>0.85</v>
      </c>
      <c r="S61" s="176">
        <f>USD!S62</f>
        <v>0.85</v>
      </c>
      <c r="T61" s="176">
        <f>USD!T62</f>
        <v>0.7</v>
      </c>
      <c r="U61" s="176">
        <f>USD!U62</f>
        <v>0.85</v>
      </c>
      <c r="V61" s="176">
        <f>USD!V62</f>
        <v>0.7</v>
      </c>
      <c r="W61" s="176">
        <f>USD!W62</f>
        <v>0.85</v>
      </c>
      <c r="X61" s="176">
        <f>USD!X62</f>
        <v>0.95</v>
      </c>
      <c r="Y61" s="176">
        <f>USD!Y62</f>
        <v>1</v>
      </c>
      <c r="Z61" s="176">
        <f>USD!Z62</f>
        <v>0.9</v>
      </c>
      <c r="AA61" s="176">
        <f>USD!AA62</f>
        <v>0.85</v>
      </c>
    </row>
    <row r="62" spans="15:27" ht="11.25">
      <c r="O62" s="87" t="str">
        <f>USD!O63</f>
        <v>г. Нижний Новгород</v>
      </c>
      <c r="P62" s="88">
        <f>USD!P63</f>
        <v>100</v>
      </c>
      <c r="Q62" s="88">
        <f>USD!Q63</f>
        <v>85</v>
      </c>
      <c r="R62" s="176">
        <f>USD!R63</f>
        <v>1</v>
      </c>
      <c r="S62" s="176">
        <f>USD!S63</f>
        <v>0.95</v>
      </c>
      <c r="T62" s="176">
        <f>USD!T63</f>
        <v>0.9</v>
      </c>
      <c r="U62" s="176">
        <f>USD!U63</f>
        <v>0.95</v>
      </c>
      <c r="V62" s="176">
        <f>USD!V63</f>
        <v>0.95</v>
      </c>
      <c r="W62" s="176">
        <f>USD!W63</f>
        <v>1</v>
      </c>
      <c r="X62" s="176">
        <f>USD!X63</f>
        <v>0.95</v>
      </c>
      <c r="Y62" s="176">
        <f>USD!Y63</f>
        <v>1</v>
      </c>
      <c r="Z62" s="176">
        <f>USD!Z63</f>
        <v>0.9</v>
      </c>
      <c r="AA62" s="176">
        <f>USD!AA63</f>
        <v>0.85</v>
      </c>
    </row>
    <row r="63" spans="15:27" ht="11.25">
      <c r="O63" s="87" t="str">
        <f>USD!O64</f>
        <v>Новосибирская область (не включая г. Новосибирск)</v>
      </c>
      <c r="P63" s="88">
        <f>USD!P64</f>
        <v>100</v>
      </c>
      <c r="Q63" s="88">
        <f>USD!Q64</f>
        <v>85</v>
      </c>
      <c r="R63" s="176">
        <f>USD!R64</f>
        <v>0.85</v>
      </c>
      <c r="S63" s="176">
        <f>USD!S64</f>
        <v>0.85</v>
      </c>
      <c r="T63" s="176">
        <f>USD!T64</f>
        <v>0.7</v>
      </c>
      <c r="U63" s="176">
        <f>USD!U64</f>
        <v>0.85</v>
      </c>
      <c r="V63" s="176">
        <f>USD!V64</f>
        <v>0.7</v>
      </c>
      <c r="W63" s="176">
        <f>USD!W64</f>
        <v>0.85</v>
      </c>
      <c r="X63" s="176">
        <f>USD!X64</f>
        <v>0.95</v>
      </c>
      <c r="Y63" s="176">
        <f>USD!Y64</f>
        <v>1</v>
      </c>
      <c r="Z63" s="176">
        <f>USD!Z64</f>
        <v>0.9</v>
      </c>
      <c r="AA63" s="176">
        <f>USD!AA64</f>
        <v>0.85</v>
      </c>
    </row>
    <row r="64" spans="15:27" ht="11.25">
      <c r="O64" s="87" t="str">
        <f>USD!O65</f>
        <v>г. Новосибирск</v>
      </c>
      <c r="P64" s="88">
        <f>USD!P65</f>
        <v>100</v>
      </c>
      <c r="Q64" s="88">
        <f>USD!Q65</f>
        <v>85</v>
      </c>
      <c r="R64" s="176">
        <f>USD!R65</f>
        <v>1</v>
      </c>
      <c r="S64" s="176">
        <f>USD!S65</f>
        <v>0.95</v>
      </c>
      <c r="T64" s="176">
        <f>USD!T65</f>
        <v>0.9</v>
      </c>
      <c r="U64" s="176">
        <f>USD!U65</f>
        <v>0.95</v>
      </c>
      <c r="V64" s="176">
        <f>USD!V65</f>
        <v>0.95</v>
      </c>
      <c r="W64" s="176">
        <f>USD!W65</f>
        <v>1</v>
      </c>
      <c r="X64" s="176">
        <f>USD!X65</f>
        <v>0.95</v>
      </c>
      <c r="Y64" s="176">
        <f>USD!Y65</f>
        <v>1</v>
      </c>
      <c r="Z64" s="176">
        <f>USD!Z65</f>
        <v>0.9</v>
      </c>
      <c r="AA64" s="176">
        <f>USD!AA65</f>
        <v>0.85</v>
      </c>
    </row>
    <row r="65" spans="15:27" ht="11.25">
      <c r="O65" s="87" t="str">
        <f>USD!O66</f>
        <v>Омская область (не включая г. Омск)</v>
      </c>
      <c r="P65" s="88">
        <f>USD!P66</f>
        <v>100</v>
      </c>
      <c r="Q65" s="88">
        <f>USD!Q66</f>
        <v>85</v>
      </c>
      <c r="R65" s="176">
        <f>USD!R66</f>
        <v>0.85</v>
      </c>
      <c r="S65" s="176">
        <f>USD!S66</f>
        <v>0.85</v>
      </c>
      <c r="T65" s="176">
        <f>USD!T66</f>
        <v>0.7</v>
      </c>
      <c r="U65" s="176">
        <f>USD!U66</f>
        <v>0.85</v>
      </c>
      <c r="V65" s="176">
        <f>USD!V66</f>
        <v>0.7</v>
      </c>
      <c r="W65" s="176">
        <f>USD!W66</f>
        <v>0.85</v>
      </c>
      <c r="X65" s="176">
        <f>USD!X66</f>
        <v>0.95</v>
      </c>
      <c r="Y65" s="176">
        <f>USD!Y66</f>
        <v>1</v>
      </c>
      <c r="Z65" s="176">
        <f>USD!Z66</f>
        <v>0.9</v>
      </c>
      <c r="AA65" s="176">
        <f>USD!AA66</f>
        <v>0.85</v>
      </c>
    </row>
    <row r="66" spans="15:27" ht="11.25">
      <c r="O66" s="87" t="str">
        <f>USD!O67</f>
        <v>г. Омск</v>
      </c>
      <c r="P66" s="88">
        <f>USD!P67</f>
        <v>100</v>
      </c>
      <c r="Q66" s="88">
        <f>USD!Q67</f>
        <v>85</v>
      </c>
      <c r="R66" s="176">
        <f>USD!R67</f>
        <v>0.9</v>
      </c>
      <c r="S66" s="176">
        <f>USD!S67</f>
        <v>0.85</v>
      </c>
      <c r="T66" s="176">
        <f>USD!T67</f>
        <v>0.7</v>
      </c>
      <c r="U66" s="176">
        <f>USD!U67</f>
        <v>0.85</v>
      </c>
      <c r="V66" s="176">
        <f>USD!V67</f>
        <v>0.7</v>
      </c>
      <c r="W66" s="176">
        <f>USD!W67</f>
        <v>0.9</v>
      </c>
      <c r="X66" s="176">
        <f>USD!X67</f>
        <v>0.95</v>
      </c>
      <c r="Y66" s="176">
        <f>USD!Y67</f>
        <v>1</v>
      </c>
      <c r="Z66" s="176">
        <f>USD!Z67</f>
        <v>0.9</v>
      </c>
      <c r="AA66" s="176">
        <f>USD!AA67</f>
        <v>0.85</v>
      </c>
    </row>
    <row r="67" spans="15:27" ht="11.25">
      <c r="O67" s="87" t="str">
        <f>USD!O68</f>
        <v>Пермский край (не включая г. Пермь)</v>
      </c>
      <c r="P67" s="88">
        <f>USD!P68</f>
        <v>100</v>
      </c>
      <c r="Q67" s="88">
        <f>USD!Q68</f>
        <v>85</v>
      </c>
      <c r="R67" s="176">
        <f>USD!R68</f>
        <v>0.85</v>
      </c>
      <c r="S67" s="176">
        <f>USD!S68</f>
        <v>0.85</v>
      </c>
      <c r="T67" s="176">
        <f>USD!T68</f>
        <v>0.7</v>
      </c>
      <c r="U67" s="176">
        <f>USD!U68</f>
        <v>0.85</v>
      </c>
      <c r="V67" s="176">
        <f>USD!V68</f>
        <v>0.7</v>
      </c>
      <c r="W67" s="176">
        <f>USD!W68</f>
        <v>0.85</v>
      </c>
      <c r="X67" s="176">
        <f>USD!X68</f>
        <v>0.95</v>
      </c>
      <c r="Y67" s="176">
        <f>USD!Y68</f>
        <v>1</v>
      </c>
      <c r="Z67" s="176">
        <f>USD!Z68</f>
        <v>0.9</v>
      </c>
      <c r="AA67" s="176">
        <f>USD!AA68</f>
        <v>0.85</v>
      </c>
    </row>
    <row r="68" spans="15:27" ht="11.25">
      <c r="O68" s="87" t="str">
        <f>USD!O69</f>
        <v>г. Пермь</v>
      </c>
      <c r="P68" s="88">
        <f>USD!P69</f>
        <v>100</v>
      </c>
      <c r="Q68" s="88">
        <f>USD!Q69</f>
        <v>85</v>
      </c>
      <c r="R68" s="176">
        <f>USD!R69</f>
        <v>0.9</v>
      </c>
      <c r="S68" s="176">
        <f>USD!S69</f>
        <v>0.85</v>
      </c>
      <c r="T68" s="176">
        <f>USD!T69</f>
        <v>0.7</v>
      </c>
      <c r="U68" s="176">
        <f>USD!U69</f>
        <v>0.85</v>
      </c>
      <c r="V68" s="176">
        <f>USD!V69</f>
        <v>0.7</v>
      </c>
      <c r="W68" s="176">
        <f>USD!W69</f>
        <v>0.9</v>
      </c>
      <c r="X68" s="176">
        <f>USD!X69</f>
        <v>0.95</v>
      </c>
      <c r="Y68" s="176">
        <f>USD!Y69</f>
        <v>1</v>
      </c>
      <c r="Z68" s="176">
        <f>USD!Z69</f>
        <v>0.9</v>
      </c>
      <c r="AA68" s="176">
        <f>USD!AA69</f>
        <v>0.85</v>
      </c>
    </row>
    <row r="69" spans="15:27" ht="11.25">
      <c r="O69" s="87" t="str">
        <f>USD!O70</f>
        <v>Приморский край (включая г. Владивосток)</v>
      </c>
      <c r="P69" s="88">
        <f>USD!P70</f>
        <v>120</v>
      </c>
      <c r="Q69" s="88">
        <f>USD!Q70</f>
        <v>100</v>
      </c>
      <c r="R69" s="176">
        <f>USD!R70</f>
        <v>0.85</v>
      </c>
      <c r="S69" s="176">
        <f>USD!S70</f>
        <v>0.85</v>
      </c>
      <c r="T69" s="176">
        <f>USD!T70</f>
        <v>0.7</v>
      </c>
      <c r="U69" s="176">
        <f>USD!U70</f>
        <v>0.85</v>
      </c>
      <c r="V69" s="176">
        <f>USD!V70</f>
        <v>0.7</v>
      </c>
      <c r="W69" s="176">
        <f>USD!W70</f>
        <v>0.85</v>
      </c>
      <c r="X69" s="176">
        <f>USD!X70</f>
        <v>0.95</v>
      </c>
      <c r="Y69" s="176">
        <f>USD!Y70</f>
        <v>1</v>
      </c>
      <c r="Z69" s="176">
        <f>USD!Z70</f>
        <v>0.9</v>
      </c>
      <c r="AA69" s="176">
        <f>USD!AA70</f>
        <v>0.85</v>
      </c>
    </row>
    <row r="70" spans="15:27" ht="11.25">
      <c r="O70" s="87" t="str">
        <f>USD!O71</f>
        <v>Республика Коми (не включая г. Сыктывкар)</v>
      </c>
      <c r="P70" s="88">
        <f>USD!P71</f>
        <v>100</v>
      </c>
      <c r="Q70" s="88">
        <f>USD!Q71</f>
        <v>85</v>
      </c>
      <c r="R70" s="176">
        <f>USD!R71</f>
        <v>0.85</v>
      </c>
      <c r="S70" s="176">
        <f>USD!S71</f>
        <v>0.85</v>
      </c>
      <c r="T70" s="176">
        <f>USD!T71</f>
        <v>0.7</v>
      </c>
      <c r="U70" s="176">
        <f>USD!U71</f>
        <v>0.85</v>
      </c>
      <c r="V70" s="176">
        <f>USD!V71</f>
        <v>0.7</v>
      </c>
      <c r="W70" s="176">
        <f>USD!W71</f>
        <v>0.85</v>
      </c>
      <c r="X70" s="176">
        <f>USD!X71</f>
        <v>0.95</v>
      </c>
      <c r="Y70" s="176">
        <f>USD!Y71</f>
        <v>1</v>
      </c>
      <c r="Z70" s="176">
        <f>USD!Z71</f>
        <v>0.9</v>
      </c>
      <c r="AA70" s="176">
        <f>USD!AA71</f>
        <v>0.85</v>
      </c>
    </row>
    <row r="71" spans="15:27" ht="11.25">
      <c r="O71" s="87" t="str">
        <f>USD!O72</f>
        <v>г. Сыктывкар</v>
      </c>
      <c r="P71" s="88">
        <f>USD!P72</f>
        <v>100</v>
      </c>
      <c r="Q71" s="88">
        <f>USD!Q72</f>
        <v>85</v>
      </c>
      <c r="R71" s="176">
        <f>USD!R72</f>
        <v>0.9</v>
      </c>
      <c r="S71" s="176">
        <f>USD!S72</f>
        <v>0.85</v>
      </c>
      <c r="T71" s="176">
        <f>USD!T72</f>
        <v>0.7</v>
      </c>
      <c r="U71" s="176">
        <f>USD!U72</f>
        <v>0.85</v>
      </c>
      <c r="V71" s="176">
        <f>USD!V72</f>
        <v>0.7</v>
      </c>
      <c r="W71" s="176">
        <f>USD!W72</f>
        <v>0.9</v>
      </c>
      <c r="X71" s="176">
        <f>USD!X72</f>
        <v>0.95</v>
      </c>
      <c r="Y71" s="176">
        <f>USD!Y72</f>
        <v>1</v>
      </c>
      <c r="Z71" s="176">
        <f>USD!Z72</f>
        <v>0.9</v>
      </c>
      <c r="AA71" s="176">
        <f>USD!AA72</f>
        <v>0.85</v>
      </c>
    </row>
    <row r="72" spans="15:27" ht="11.25">
      <c r="O72" s="87" t="str">
        <f>USD!O73</f>
        <v>Республика Марий Эл (не включая г. Йошкар-Олу)</v>
      </c>
      <c r="P72" s="88">
        <f>USD!P73</f>
        <v>100</v>
      </c>
      <c r="Q72" s="88">
        <f>USD!Q73</f>
        <v>85</v>
      </c>
      <c r="R72" s="176">
        <f>USD!R73</f>
        <v>0.85</v>
      </c>
      <c r="S72" s="176">
        <f>USD!S73</f>
        <v>0.85</v>
      </c>
      <c r="T72" s="176">
        <f>USD!T73</f>
        <v>0.7</v>
      </c>
      <c r="U72" s="176">
        <f>USD!U73</f>
        <v>0.85</v>
      </c>
      <c r="V72" s="176">
        <f>USD!V73</f>
        <v>0.7</v>
      </c>
      <c r="W72" s="176">
        <f>USD!W73</f>
        <v>0.85</v>
      </c>
      <c r="X72" s="176">
        <f>USD!X73</f>
        <v>0.95</v>
      </c>
      <c r="Y72" s="176">
        <f>USD!Y73</f>
        <v>1</v>
      </c>
      <c r="Z72" s="176">
        <f>USD!Z73</f>
        <v>0.9</v>
      </c>
      <c r="AA72" s="176">
        <f>USD!AA73</f>
        <v>0.85</v>
      </c>
    </row>
    <row r="73" spans="15:27" ht="11.25">
      <c r="O73" s="87" t="str">
        <f>USD!O74</f>
        <v>г. Йошкар-Ола</v>
      </c>
      <c r="P73" s="88">
        <f>USD!P74</f>
        <v>100</v>
      </c>
      <c r="Q73" s="88">
        <f>USD!Q74</f>
        <v>85</v>
      </c>
      <c r="R73" s="176">
        <f>USD!R74</f>
        <v>0.9</v>
      </c>
      <c r="S73" s="176">
        <f>USD!S74</f>
        <v>0.85</v>
      </c>
      <c r="T73" s="176">
        <f>USD!T74</f>
        <v>0.7</v>
      </c>
      <c r="U73" s="176">
        <f>USD!U74</f>
        <v>0.85</v>
      </c>
      <c r="V73" s="176">
        <f>USD!V74</f>
        <v>0.7</v>
      </c>
      <c r="W73" s="176">
        <f>USD!W74</f>
        <v>0.9</v>
      </c>
      <c r="X73" s="176">
        <f>USD!X74</f>
        <v>0.95</v>
      </c>
      <c r="Y73" s="176">
        <f>USD!Y74</f>
        <v>1</v>
      </c>
      <c r="Z73" s="176">
        <f>USD!Z74</f>
        <v>0.9</v>
      </c>
      <c r="AA73" s="176">
        <f>USD!AA74</f>
        <v>0.85</v>
      </c>
    </row>
    <row r="74" spans="15:27" ht="11.25">
      <c r="O74" s="87" t="str">
        <f>USD!O75</f>
        <v>Республика Саха (Якутия) (не включая г. Якутск)</v>
      </c>
      <c r="P74" s="88">
        <f>USD!P75</f>
        <v>120</v>
      </c>
      <c r="Q74" s="88">
        <f>USD!Q75</f>
        <v>100</v>
      </c>
      <c r="R74" s="176">
        <f>USD!R75</f>
        <v>0.85</v>
      </c>
      <c r="S74" s="176">
        <f>USD!S75</f>
        <v>0.85</v>
      </c>
      <c r="T74" s="176">
        <f>USD!T75</f>
        <v>0.7</v>
      </c>
      <c r="U74" s="176">
        <f>USD!U75</f>
        <v>0.85</v>
      </c>
      <c r="V74" s="176">
        <f>USD!V75</f>
        <v>0.7</v>
      </c>
      <c r="W74" s="176">
        <f>USD!W75</f>
        <v>0.85</v>
      </c>
      <c r="X74" s="176">
        <f>USD!X75</f>
        <v>0.95</v>
      </c>
      <c r="Y74" s="176">
        <f>USD!Y75</f>
        <v>1</v>
      </c>
      <c r="Z74" s="176">
        <f>USD!Z75</f>
        <v>0.9</v>
      </c>
      <c r="AA74" s="176">
        <f>USD!AA75</f>
        <v>0.85</v>
      </c>
    </row>
    <row r="75" spans="15:27" ht="11.25">
      <c r="O75" s="87" t="str">
        <f>USD!O76</f>
        <v>г. Якутск</v>
      </c>
      <c r="P75" s="88">
        <f>USD!P76</f>
        <v>120</v>
      </c>
      <c r="Q75" s="88">
        <f>USD!Q76</f>
        <v>100</v>
      </c>
      <c r="R75" s="176">
        <f>USD!R76</f>
        <v>0.9</v>
      </c>
      <c r="S75" s="176">
        <f>USD!S76</f>
        <v>0.85</v>
      </c>
      <c r="T75" s="176">
        <f>USD!T76</f>
        <v>0.7</v>
      </c>
      <c r="U75" s="176">
        <f>USD!U76</f>
        <v>0.85</v>
      </c>
      <c r="V75" s="176">
        <f>USD!V76</f>
        <v>0.7</v>
      </c>
      <c r="W75" s="176">
        <f>USD!W76</f>
        <v>0.9</v>
      </c>
      <c r="X75" s="176">
        <f>USD!X76</f>
        <v>0.95</v>
      </c>
      <c r="Y75" s="176">
        <f>USD!Y76</f>
        <v>1</v>
      </c>
      <c r="Z75" s="176">
        <f>USD!Z76</f>
        <v>0.9</v>
      </c>
      <c r="AA75" s="176">
        <f>USD!AA76</f>
        <v>0.85</v>
      </c>
    </row>
    <row r="76" spans="15:27" ht="11.25">
      <c r="O76" s="87" t="str">
        <f>USD!O77</f>
        <v>Республика Татарстан (не включая г. Казань)</v>
      </c>
      <c r="P76" s="88">
        <f>USD!P77</f>
        <v>100</v>
      </c>
      <c r="Q76" s="88">
        <f>USD!Q77</f>
        <v>85</v>
      </c>
      <c r="R76" s="176">
        <f>USD!R77</f>
        <v>0.85</v>
      </c>
      <c r="S76" s="176">
        <f>USD!S77</f>
        <v>0.85</v>
      </c>
      <c r="T76" s="176">
        <f>USD!T77</f>
        <v>0.7</v>
      </c>
      <c r="U76" s="176">
        <f>USD!U77</f>
        <v>0.85</v>
      </c>
      <c r="V76" s="176">
        <f>USD!V77</f>
        <v>0.7</v>
      </c>
      <c r="W76" s="176">
        <f>USD!W77</f>
        <v>0.85</v>
      </c>
      <c r="X76" s="176">
        <f>USD!X77</f>
        <v>0.95</v>
      </c>
      <c r="Y76" s="176">
        <f>USD!Y77</f>
        <v>1</v>
      </c>
      <c r="Z76" s="176">
        <f>USD!Z77</f>
        <v>0.9</v>
      </c>
      <c r="AA76" s="176">
        <f>USD!AA77</f>
        <v>0.85</v>
      </c>
    </row>
    <row r="77" spans="15:27" ht="11.25">
      <c r="O77" s="87" t="str">
        <f>USD!O78</f>
        <v>г. Казань</v>
      </c>
      <c r="P77" s="88">
        <f>USD!P78</f>
        <v>100</v>
      </c>
      <c r="Q77" s="88">
        <f>USD!Q78</f>
        <v>85</v>
      </c>
      <c r="R77" s="176">
        <f>USD!R78</f>
        <v>1</v>
      </c>
      <c r="S77" s="176">
        <f>USD!S78</f>
        <v>0.95</v>
      </c>
      <c r="T77" s="176">
        <f>USD!T78</f>
        <v>0.9</v>
      </c>
      <c r="U77" s="176">
        <f>USD!U78</f>
        <v>0.95</v>
      </c>
      <c r="V77" s="176">
        <f>USD!V78</f>
        <v>0.95</v>
      </c>
      <c r="W77" s="176">
        <f>USD!W78</f>
        <v>1</v>
      </c>
      <c r="X77" s="176">
        <f>USD!X78</f>
        <v>0.95</v>
      </c>
      <c r="Y77" s="176">
        <f>USD!Y78</f>
        <v>1</v>
      </c>
      <c r="Z77" s="176">
        <f>USD!Z78</f>
        <v>0.9</v>
      </c>
      <c r="AA77" s="176">
        <f>USD!AA78</f>
        <v>0.85</v>
      </c>
    </row>
    <row r="78" spans="15:27" ht="11.25">
      <c r="O78" s="87" t="str">
        <f>USD!O79</f>
        <v>Ростовская область (не включая г. Ростов-на-Дону)</v>
      </c>
      <c r="P78" s="88">
        <f>USD!P79</f>
        <v>100</v>
      </c>
      <c r="Q78" s="88">
        <f>USD!Q79</f>
        <v>85</v>
      </c>
      <c r="R78" s="176">
        <f>USD!R79</f>
        <v>0.85</v>
      </c>
      <c r="S78" s="176">
        <f>USD!S79</f>
        <v>0.85</v>
      </c>
      <c r="T78" s="176">
        <f>USD!T79</f>
        <v>0.7</v>
      </c>
      <c r="U78" s="176">
        <f>USD!U79</f>
        <v>0.85</v>
      </c>
      <c r="V78" s="176">
        <f>USD!V79</f>
        <v>0.7</v>
      </c>
      <c r="W78" s="176">
        <f>USD!W79</f>
        <v>0.85</v>
      </c>
      <c r="X78" s="176">
        <f>USD!X79</f>
        <v>0.95</v>
      </c>
      <c r="Y78" s="176">
        <f>USD!Y79</f>
        <v>1</v>
      </c>
      <c r="Z78" s="176">
        <f>USD!Z79</f>
        <v>0.9</v>
      </c>
      <c r="AA78" s="176">
        <f>USD!AA79</f>
        <v>0.85</v>
      </c>
    </row>
    <row r="79" spans="15:27" ht="11.25">
      <c r="O79" s="87" t="str">
        <f>USD!O80</f>
        <v>г. Ростов-на-Дону</v>
      </c>
      <c r="P79" s="88">
        <f>USD!P80</f>
        <v>100</v>
      </c>
      <c r="Q79" s="88">
        <f>USD!Q80</f>
        <v>85</v>
      </c>
      <c r="R79" s="176">
        <f>USD!R80</f>
        <v>0.95</v>
      </c>
      <c r="S79" s="176">
        <f>USD!S80</f>
        <v>0.95</v>
      </c>
      <c r="T79" s="176">
        <f>USD!T80</f>
        <v>0.9</v>
      </c>
      <c r="U79" s="176">
        <f>USD!U80</f>
        <v>0.95</v>
      </c>
      <c r="V79" s="176">
        <f>USD!V80</f>
        <v>0.95</v>
      </c>
      <c r="W79" s="176">
        <f>USD!W80</f>
        <v>0.95</v>
      </c>
      <c r="X79" s="176">
        <f>USD!X80</f>
        <v>0.95</v>
      </c>
      <c r="Y79" s="176">
        <f>USD!Y80</f>
        <v>1</v>
      </c>
      <c r="Z79" s="176">
        <f>USD!Z80</f>
        <v>0.9</v>
      </c>
      <c r="AA79" s="176">
        <f>USD!AA80</f>
        <v>0.85</v>
      </c>
    </row>
    <row r="80" spans="15:27" ht="11.25">
      <c r="O80" s="87" t="str">
        <f>USD!O81</f>
        <v>Самарская область (не включая г. Самара и г. Тольятти)</v>
      </c>
      <c r="P80" s="88">
        <f>USD!P81</f>
        <v>100</v>
      </c>
      <c r="Q80" s="88">
        <f>USD!Q81</f>
        <v>85</v>
      </c>
      <c r="R80" s="176">
        <f>USD!R81</f>
        <v>0.85</v>
      </c>
      <c r="S80" s="176">
        <f>USD!S81</f>
        <v>0.85</v>
      </c>
      <c r="T80" s="176">
        <f>USD!T81</f>
        <v>0.7</v>
      </c>
      <c r="U80" s="176">
        <f>USD!U81</f>
        <v>0.85</v>
      </c>
      <c r="V80" s="176">
        <f>USD!V81</f>
        <v>0.7</v>
      </c>
      <c r="W80" s="176">
        <f>USD!W81</f>
        <v>0.85</v>
      </c>
      <c r="X80" s="176">
        <f>USD!X81</f>
        <v>0.95</v>
      </c>
      <c r="Y80" s="176">
        <f>USD!Y81</f>
        <v>1</v>
      </c>
      <c r="Z80" s="176">
        <f>USD!Z81</f>
        <v>0.9</v>
      </c>
      <c r="AA80" s="176">
        <f>USD!AA81</f>
        <v>0.85</v>
      </c>
    </row>
    <row r="81" spans="15:27" ht="11.25">
      <c r="O81" s="87" t="str">
        <f>USD!O82</f>
        <v>г. Самара</v>
      </c>
      <c r="P81" s="88">
        <f>USD!P82</f>
        <v>100</v>
      </c>
      <c r="Q81" s="88">
        <f>USD!Q82</f>
        <v>85</v>
      </c>
      <c r="R81" s="176">
        <f>USD!R82</f>
        <v>1</v>
      </c>
      <c r="S81" s="176">
        <f>USD!S82</f>
        <v>0.95</v>
      </c>
      <c r="T81" s="176">
        <f>USD!T82</f>
        <v>0.9</v>
      </c>
      <c r="U81" s="176">
        <f>USD!U82</f>
        <v>0.95</v>
      </c>
      <c r="V81" s="176">
        <f>USD!V82</f>
        <v>0.95</v>
      </c>
      <c r="W81" s="176">
        <f>USD!W82</f>
        <v>1</v>
      </c>
      <c r="X81" s="176">
        <f>USD!X82</f>
        <v>0.95</v>
      </c>
      <c r="Y81" s="176">
        <f>USD!Y82</f>
        <v>1</v>
      </c>
      <c r="Z81" s="176">
        <f>USD!Z82</f>
        <v>0.9</v>
      </c>
      <c r="AA81" s="176">
        <f>USD!AA82</f>
        <v>0.85</v>
      </c>
    </row>
    <row r="82" spans="15:27" ht="11.25">
      <c r="O82" s="87" t="str">
        <f>USD!O83</f>
        <v>г. Тольятти</v>
      </c>
      <c r="P82" s="88">
        <f>USD!P83</f>
        <v>100</v>
      </c>
      <c r="Q82" s="88">
        <f>USD!Q83</f>
        <v>85</v>
      </c>
      <c r="R82" s="176">
        <f>USD!R83</f>
        <v>0.9</v>
      </c>
      <c r="S82" s="176">
        <f>USD!S83</f>
        <v>0.85</v>
      </c>
      <c r="T82" s="176">
        <f>USD!T83</f>
        <v>0.7</v>
      </c>
      <c r="U82" s="176">
        <f>USD!U83</f>
        <v>0.85</v>
      </c>
      <c r="V82" s="176">
        <f>USD!V83</f>
        <v>0.7</v>
      </c>
      <c r="W82" s="176">
        <f>USD!W83</f>
        <v>0.9</v>
      </c>
      <c r="X82" s="176">
        <f>USD!X83</f>
        <v>0.95</v>
      </c>
      <c r="Y82" s="176">
        <f>USD!Y83</f>
        <v>1</v>
      </c>
      <c r="Z82" s="176">
        <f>USD!Z83</f>
        <v>0.9</v>
      </c>
      <c r="AA82" s="176">
        <f>USD!AA83</f>
        <v>0.85</v>
      </c>
    </row>
    <row r="83" spans="15:27" ht="11.25">
      <c r="O83" s="87" t="str">
        <f>USD!O84</f>
        <v>Саратовская область (включая г. Саратов)</v>
      </c>
      <c r="P83" s="88">
        <f>USD!P84</f>
        <v>100</v>
      </c>
      <c r="Q83" s="88">
        <f>USD!Q84</f>
        <v>85</v>
      </c>
      <c r="R83" s="176">
        <f>USD!R84</f>
        <v>0.85</v>
      </c>
      <c r="S83" s="176">
        <f>USD!S84</f>
        <v>0.85</v>
      </c>
      <c r="T83" s="176">
        <f>USD!T84</f>
        <v>0.7</v>
      </c>
      <c r="U83" s="176">
        <f>USD!U84</f>
        <v>0.85</v>
      </c>
      <c r="V83" s="176">
        <f>USD!V84</f>
        <v>0.7</v>
      </c>
      <c r="W83" s="176">
        <f>USD!W84</f>
        <v>0.85</v>
      </c>
      <c r="X83" s="176">
        <f>USD!X84</f>
        <v>0.95</v>
      </c>
      <c r="Y83" s="176">
        <f>USD!Y84</f>
        <v>1</v>
      </c>
      <c r="Z83" s="176">
        <f>USD!Z84</f>
        <v>0.9</v>
      </c>
      <c r="AA83" s="176">
        <f>USD!AA84</f>
        <v>0.85</v>
      </c>
    </row>
    <row r="84" spans="15:27" ht="11.25">
      <c r="O84" s="87" t="str">
        <f>USD!O85</f>
        <v>Свердловская область (не включая г. Екатеринбург)</v>
      </c>
      <c r="P84" s="88">
        <f>USD!P85</f>
        <v>100</v>
      </c>
      <c r="Q84" s="88">
        <f>USD!Q85</f>
        <v>85</v>
      </c>
      <c r="R84" s="176">
        <f>USD!R85</f>
        <v>0.85</v>
      </c>
      <c r="S84" s="176">
        <f>USD!S85</f>
        <v>0.85</v>
      </c>
      <c r="T84" s="176">
        <f>USD!T85</f>
        <v>0.7</v>
      </c>
      <c r="U84" s="176">
        <f>USD!U85</f>
        <v>0.85</v>
      </c>
      <c r="V84" s="176">
        <f>USD!V85</f>
        <v>0.7</v>
      </c>
      <c r="W84" s="176">
        <f>USD!W85</f>
        <v>0.85</v>
      </c>
      <c r="X84" s="176">
        <f>USD!X85</f>
        <v>0.95</v>
      </c>
      <c r="Y84" s="176">
        <f>USD!Y85</f>
        <v>1</v>
      </c>
      <c r="Z84" s="176">
        <f>USD!Z85</f>
        <v>0.9</v>
      </c>
      <c r="AA84" s="176">
        <f>USD!AA85</f>
        <v>0.85</v>
      </c>
    </row>
    <row r="85" spans="15:27" ht="11.25">
      <c r="O85" s="87" t="str">
        <f>USD!O86</f>
        <v>г. Екатеринбург</v>
      </c>
      <c r="P85" s="88">
        <f>USD!P86</f>
        <v>100</v>
      </c>
      <c r="Q85" s="88">
        <f>USD!Q86</f>
        <v>85</v>
      </c>
      <c r="R85" s="176">
        <f>USD!R86</f>
        <v>1</v>
      </c>
      <c r="S85" s="176">
        <f>USD!S86</f>
        <v>0.95</v>
      </c>
      <c r="T85" s="176">
        <f>USD!T86</f>
        <v>0.9</v>
      </c>
      <c r="U85" s="176">
        <f>USD!U86</f>
        <v>0.95</v>
      </c>
      <c r="V85" s="176">
        <f>USD!V86</f>
        <v>0.95</v>
      </c>
      <c r="W85" s="176">
        <f>USD!W86</f>
        <v>1</v>
      </c>
      <c r="X85" s="176">
        <f>USD!X86</f>
        <v>0.95</v>
      </c>
      <c r="Y85" s="176">
        <f>USD!Y86</f>
        <v>1</v>
      </c>
      <c r="Z85" s="176">
        <f>USD!Z86</f>
        <v>0.9</v>
      </c>
      <c r="AA85" s="176">
        <f>USD!AA86</f>
        <v>0.85</v>
      </c>
    </row>
    <row r="86" spans="15:27" ht="11.25">
      <c r="O86" s="87" t="str">
        <f>USD!O87</f>
        <v>Смоленская область (не включая г. Смоленск)</v>
      </c>
      <c r="P86" s="88">
        <f>USD!P87</f>
        <v>100</v>
      </c>
      <c r="Q86" s="88">
        <f>USD!Q87</f>
        <v>85</v>
      </c>
      <c r="R86" s="176">
        <f>USD!R87</f>
        <v>0.85</v>
      </c>
      <c r="S86" s="176">
        <f>USD!S87</f>
        <v>0.85</v>
      </c>
      <c r="T86" s="176">
        <f>USD!T87</f>
        <v>0.7</v>
      </c>
      <c r="U86" s="176">
        <f>USD!U87</f>
        <v>0.85</v>
      </c>
      <c r="V86" s="176">
        <f>USD!V87</f>
        <v>0.7</v>
      </c>
      <c r="W86" s="176">
        <f>USD!W87</f>
        <v>0.85</v>
      </c>
      <c r="X86" s="176">
        <f>USD!X87</f>
        <v>0.95</v>
      </c>
      <c r="Y86" s="176">
        <f>USD!Y87</f>
        <v>1</v>
      </c>
      <c r="Z86" s="176">
        <f>USD!Z87</f>
        <v>0.9</v>
      </c>
      <c r="AA86" s="176">
        <f>USD!AA87</f>
        <v>0.85</v>
      </c>
    </row>
    <row r="87" spans="15:27" ht="11.25">
      <c r="O87" s="87" t="str">
        <f>USD!O88</f>
        <v>г. Смоленск</v>
      </c>
      <c r="P87" s="88">
        <f>USD!P88</f>
        <v>100</v>
      </c>
      <c r="Q87" s="88">
        <f>USD!Q88</f>
        <v>85</v>
      </c>
      <c r="R87" s="176">
        <f>USD!R88</f>
        <v>0.9</v>
      </c>
      <c r="S87" s="176">
        <f>USD!S88</f>
        <v>0.85</v>
      </c>
      <c r="T87" s="176">
        <f>USD!T88</f>
        <v>0.7</v>
      </c>
      <c r="U87" s="176">
        <f>USD!U88</f>
        <v>0.85</v>
      </c>
      <c r="V87" s="176">
        <f>USD!V88</f>
        <v>0.7</v>
      </c>
      <c r="W87" s="176">
        <f>USD!W88</f>
        <v>0.9</v>
      </c>
      <c r="X87" s="176">
        <f>USD!X88</f>
        <v>0.95</v>
      </c>
      <c r="Y87" s="176">
        <f>USD!Y88</f>
        <v>1</v>
      </c>
      <c r="Z87" s="176">
        <f>USD!Z88</f>
        <v>0.9</v>
      </c>
      <c r="AA87" s="176">
        <f>USD!AA88</f>
        <v>0.85</v>
      </c>
    </row>
    <row r="88" spans="15:27" ht="11.25">
      <c r="O88" s="87" t="str">
        <f>USD!O89</f>
        <v>Тульская область (не включая г. Тула и г. Новомосковск)</v>
      </c>
      <c r="P88" s="88">
        <f>USD!P89</f>
        <v>100</v>
      </c>
      <c r="Q88" s="88">
        <f>USD!Q89</f>
        <v>85</v>
      </c>
      <c r="R88" s="176">
        <f>USD!R89</f>
        <v>0.85</v>
      </c>
      <c r="S88" s="176">
        <f>USD!S89</f>
        <v>0.85</v>
      </c>
      <c r="T88" s="176">
        <f>USD!T89</f>
        <v>0.7</v>
      </c>
      <c r="U88" s="176">
        <f>USD!U89</f>
        <v>0.85</v>
      </c>
      <c r="V88" s="176">
        <f>USD!V89</f>
        <v>0.7</v>
      </c>
      <c r="W88" s="176">
        <f>USD!W89</f>
        <v>0.85</v>
      </c>
      <c r="X88" s="176">
        <f>USD!X89</f>
        <v>0.95</v>
      </c>
      <c r="Y88" s="176">
        <f>USD!Y89</f>
        <v>1</v>
      </c>
      <c r="Z88" s="176">
        <f>USD!Z89</f>
        <v>0.9</v>
      </c>
      <c r="AA88" s="176">
        <f>USD!AA89</f>
        <v>0.85</v>
      </c>
    </row>
    <row r="89" spans="15:27" ht="11.25">
      <c r="O89" s="87" t="str">
        <f>USD!O90</f>
        <v>г. Тула</v>
      </c>
      <c r="P89" s="88">
        <f>USD!P90</f>
        <v>100</v>
      </c>
      <c r="Q89" s="88">
        <f>USD!Q90</f>
        <v>85</v>
      </c>
      <c r="R89" s="176">
        <f>USD!R90</f>
        <v>0.9</v>
      </c>
      <c r="S89" s="176">
        <f>USD!S90</f>
        <v>0.85</v>
      </c>
      <c r="T89" s="176">
        <f>USD!T90</f>
        <v>0.7</v>
      </c>
      <c r="U89" s="176">
        <f>USD!U90</f>
        <v>0.85</v>
      </c>
      <c r="V89" s="176">
        <f>USD!V90</f>
        <v>0.7</v>
      </c>
      <c r="W89" s="176">
        <f>USD!W90</f>
        <v>0.9</v>
      </c>
      <c r="X89" s="176">
        <f>USD!X90</f>
        <v>0.95</v>
      </c>
      <c r="Y89" s="176">
        <f>USD!Y90</f>
        <v>1</v>
      </c>
      <c r="Z89" s="176">
        <f>USD!Z90</f>
        <v>0.9</v>
      </c>
      <c r="AA89" s="176">
        <f>USD!AA90</f>
        <v>0.85</v>
      </c>
    </row>
    <row r="90" spans="15:27" ht="11.25">
      <c r="O90" s="87" t="str">
        <f>USD!O91</f>
        <v>г. Новомосковск</v>
      </c>
      <c r="P90" s="88">
        <f>USD!P91</f>
        <v>100</v>
      </c>
      <c r="Q90" s="88">
        <f>USD!Q91</f>
        <v>85</v>
      </c>
      <c r="R90" s="176">
        <f>USD!R91</f>
        <v>0.9</v>
      </c>
      <c r="S90" s="176">
        <f>USD!S91</f>
        <v>0.85</v>
      </c>
      <c r="T90" s="176">
        <f>USD!T91</f>
        <v>0.7</v>
      </c>
      <c r="U90" s="176">
        <f>USD!U91</f>
        <v>0.85</v>
      </c>
      <c r="V90" s="176">
        <f>USD!V91</f>
        <v>0.7</v>
      </c>
      <c r="W90" s="176">
        <f>USD!W91</f>
        <v>0.9</v>
      </c>
      <c r="X90" s="176">
        <f>USD!X91</f>
        <v>0.95</v>
      </c>
      <c r="Y90" s="176">
        <f>USD!Y91</f>
        <v>1</v>
      </c>
      <c r="Z90" s="176">
        <f>USD!Z91</f>
        <v>0.9</v>
      </c>
      <c r="AA90" s="176">
        <f>USD!AA91</f>
        <v>0.85</v>
      </c>
    </row>
    <row r="91" spans="15:27" ht="11.25">
      <c r="O91" s="87" t="str">
        <f>USD!O92</f>
        <v>Тверская область (включая г. Тверь)</v>
      </c>
      <c r="P91" s="88">
        <f>USD!P92</f>
        <v>100</v>
      </c>
      <c r="Q91" s="88">
        <f>USD!Q92</f>
        <v>85</v>
      </c>
      <c r="R91" s="176">
        <f>USD!R92</f>
        <v>0.85</v>
      </c>
      <c r="S91" s="176">
        <f>USD!S92</f>
        <v>0.85</v>
      </c>
      <c r="T91" s="176">
        <f>USD!T92</f>
        <v>0.7</v>
      </c>
      <c r="U91" s="176">
        <f>USD!U92</f>
        <v>0.85</v>
      </c>
      <c r="V91" s="176">
        <f>USD!V92</f>
        <v>0.7</v>
      </c>
      <c r="W91" s="176">
        <f>USD!W92</f>
        <v>0.85</v>
      </c>
      <c r="X91" s="176">
        <f>USD!X92</f>
        <v>0.95</v>
      </c>
      <c r="Y91" s="176">
        <f>USD!Y92</f>
        <v>1</v>
      </c>
      <c r="Z91" s="176">
        <f>USD!Z92</f>
        <v>0.9</v>
      </c>
      <c r="AA91" s="176">
        <f>USD!AA92</f>
        <v>0.85</v>
      </c>
    </row>
    <row r="92" spans="15:27" ht="11.25">
      <c r="O92" s="87" t="str">
        <f>USD!O93</f>
        <v>Томская область (не включая г. Томск)</v>
      </c>
      <c r="P92" s="88">
        <f>USD!P93</f>
        <v>100</v>
      </c>
      <c r="Q92" s="88">
        <f>USD!Q93</f>
        <v>85</v>
      </c>
      <c r="R92" s="176">
        <f>USD!R93</f>
        <v>0.85</v>
      </c>
      <c r="S92" s="176">
        <f>USD!S93</f>
        <v>0.85</v>
      </c>
      <c r="T92" s="176">
        <f>USD!T93</f>
        <v>0.7</v>
      </c>
      <c r="U92" s="176">
        <f>USD!U93</f>
        <v>0.85</v>
      </c>
      <c r="V92" s="176">
        <f>USD!V93</f>
        <v>0.7</v>
      </c>
      <c r="W92" s="176">
        <f>USD!W93</f>
        <v>0.85</v>
      </c>
      <c r="X92" s="176">
        <f>USD!X93</f>
        <v>0.95</v>
      </c>
      <c r="Y92" s="176">
        <f>USD!Y93</f>
        <v>1</v>
      </c>
      <c r="Z92" s="176">
        <f>USD!Z93</f>
        <v>0.9</v>
      </c>
      <c r="AA92" s="176">
        <f>USD!AA93</f>
        <v>0.85</v>
      </c>
    </row>
    <row r="93" spans="15:27" ht="11.25">
      <c r="O93" s="87" t="str">
        <f>USD!O94</f>
        <v>г. Томск</v>
      </c>
      <c r="P93" s="88">
        <f>USD!P94</f>
        <v>100</v>
      </c>
      <c r="Q93" s="88">
        <f>USD!Q94</f>
        <v>85</v>
      </c>
      <c r="R93" s="176">
        <f>USD!R94</f>
        <v>0.9</v>
      </c>
      <c r="S93" s="176">
        <f>USD!S94</f>
        <v>0.85</v>
      </c>
      <c r="T93" s="176">
        <f>USD!T94</f>
        <v>0.7</v>
      </c>
      <c r="U93" s="176">
        <f>USD!U94</f>
        <v>0.85</v>
      </c>
      <c r="V93" s="176">
        <f>USD!V94</f>
        <v>0.7</v>
      </c>
      <c r="W93" s="176">
        <f>USD!W94</f>
        <v>0.9</v>
      </c>
      <c r="X93" s="176">
        <f>USD!X94</f>
        <v>0.95</v>
      </c>
      <c r="Y93" s="176">
        <f>USD!Y94</f>
        <v>1</v>
      </c>
      <c r="Z93" s="176">
        <f>USD!Z94</f>
        <v>0.9</v>
      </c>
      <c r="AA93" s="176">
        <f>USD!AA94</f>
        <v>0.85</v>
      </c>
    </row>
    <row r="94" spans="15:27" ht="11.25">
      <c r="O94" s="87" t="str">
        <f>USD!O95</f>
        <v>Тюменская область (не включая г. Тюмень)</v>
      </c>
      <c r="P94" s="88">
        <f>USD!P95</f>
        <v>100</v>
      </c>
      <c r="Q94" s="88">
        <f>USD!Q95</f>
        <v>85</v>
      </c>
      <c r="R94" s="176">
        <f>USD!R95</f>
        <v>0.85</v>
      </c>
      <c r="S94" s="176">
        <f>USD!S95</f>
        <v>0.85</v>
      </c>
      <c r="T94" s="176">
        <f>USD!T95</f>
        <v>0.7</v>
      </c>
      <c r="U94" s="176">
        <f>USD!U95</f>
        <v>0.85</v>
      </c>
      <c r="V94" s="176">
        <f>USD!V95</f>
        <v>0.7</v>
      </c>
      <c r="W94" s="176">
        <f>USD!W95</f>
        <v>0.85</v>
      </c>
      <c r="X94" s="176">
        <f>USD!X95</f>
        <v>0.95</v>
      </c>
      <c r="Y94" s="176">
        <f>USD!Y95</f>
        <v>1</v>
      </c>
      <c r="Z94" s="176">
        <f>USD!Z95</f>
        <v>0.9</v>
      </c>
      <c r="AA94" s="176">
        <f>USD!AA95</f>
        <v>0.85</v>
      </c>
    </row>
    <row r="95" spans="15:27" ht="11.25">
      <c r="O95" s="87" t="str">
        <f>USD!O96</f>
        <v>г. Тюмень</v>
      </c>
      <c r="P95" s="88">
        <f>USD!P96</f>
        <v>100</v>
      </c>
      <c r="Q95" s="88">
        <f>USD!Q96</f>
        <v>85</v>
      </c>
      <c r="R95" s="176">
        <f>USD!R96</f>
        <v>0.95</v>
      </c>
      <c r="S95" s="176">
        <f>USD!S96</f>
        <v>0.95</v>
      </c>
      <c r="T95" s="176">
        <f>USD!T96</f>
        <v>0.9</v>
      </c>
      <c r="U95" s="176">
        <f>USD!U96</f>
        <v>0.95</v>
      </c>
      <c r="V95" s="176">
        <f>USD!V96</f>
        <v>0.95</v>
      </c>
      <c r="W95" s="176">
        <f>USD!W96</f>
        <v>0.95</v>
      </c>
      <c r="X95" s="176">
        <f>USD!X96</f>
        <v>0.95</v>
      </c>
      <c r="Y95" s="176">
        <f>USD!Y96</f>
        <v>1</v>
      </c>
      <c r="Z95" s="176">
        <f>USD!Z96</f>
        <v>0.9</v>
      </c>
      <c r="AA95" s="176">
        <f>USD!AA96</f>
        <v>0.85</v>
      </c>
    </row>
    <row r="96" spans="15:27" ht="11.25">
      <c r="O96" s="87" t="str">
        <f>USD!O97</f>
        <v>Ульяновская область (не включая г. Ульяновск)</v>
      </c>
      <c r="P96" s="88">
        <f>USD!P97</f>
        <v>100</v>
      </c>
      <c r="Q96" s="88">
        <f>USD!Q97</f>
        <v>85</v>
      </c>
      <c r="R96" s="176">
        <f>USD!R97</f>
        <v>0.85</v>
      </c>
      <c r="S96" s="176">
        <f>USD!S97</f>
        <v>0.85</v>
      </c>
      <c r="T96" s="176">
        <f>USD!T97</f>
        <v>0.7</v>
      </c>
      <c r="U96" s="176">
        <f>USD!U97</f>
        <v>0.85</v>
      </c>
      <c r="V96" s="176">
        <f>USD!V97</f>
        <v>0.7</v>
      </c>
      <c r="W96" s="176">
        <f>USD!W97</f>
        <v>0.85</v>
      </c>
      <c r="X96" s="176">
        <f>USD!X97</f>
        <v>0.95</v>
      </c>
      <c r="Y96" s="176">
        <f>USD!Y97</f>
        <v>1</v>
      </c>
      <c r="Z96" s="176">
        <f>USD!Z97</f>
        <v>0.9</v>
      </c>
      <c r="AA96" s="176">
        <f>USD!AA97</f>
        <v>0.85</v>
      </c>
    </row>
    <row r="97" spans="15:27" ht="11.25">
      <c r="O97" s="87" t="str">
        <f>USD!O98</f>
        <v>г. Ульяновск</v>
      </c>
      <c r="P97" s="88">
        <f>USD!P98</f>
        <v>100</v>
      </c>
      <c r="Q97" s="88">
        <f>USD!Q98</f>
        <v>85</v>
      </c>
      <c r="R97" s="176">
        <f>USD!R98</f>
        <v>0.9</v>
      </c>
      <c r="S97" s="176">
        <f>USD!S98</f>
        <v>0.85</v>
      </c>
      <c r="T97" s="176">
        <f>USD!T98</f>
        <v>0.7</v>
      </c>
      <c r="U97" s="176">
        <f>USD!U98</f>
        <v>0.85</v>
      </c>
      <c r="V97" s="176">
        <f>USD!V98</f>
        <v>0.7</v>
      </c>
      <c r="W97" s="176">
        <f>USD!W98</f>
        <v>0.9</v>
      </c>
      <c r="X97" s="176">
        <f>USD!X98</f>
        <v>0.95</v>
      </c>
      <c r="Y97" s="176">
        <f>USD!Y98</f>
        <v>1</v>
      </c>
      <c r="Z97" s="176">
        <f>USD!Z98</f>
        <v>0.9</v>
      </c>
      <c r="AA97" s="176">
        <f>USD!AA98</f>
        <v>0.85</v>
      </c>
    </row>
    <row r="98" spans="15:27" ht="11.25">
      <c r="O98" s="87" t="str">
        <f>USD!O99</f>
        <v>Хабаровский край (не включая г. Хабаровск)</v>
      </c>
      <c r="P98" s="88">
        <f>USD!P99</f>
        <v>120</v>
      </c>
      <c r="Q98" s="88">
        <f>USD!Q99</f>
        <v>100</v>
      </c>
      <c r="R98" s="176">
        <f>USD!R99</f>
        <v>0.85</v>
      </c>
      <c r="S98" s="176">
        <f>USD!S99</f>
        <v>0.85</v>
      </c>
      <c r="T98" s="176">
        <f>USD!T99</f>
        <v>0.7</v>
      </c>
      <c r="U98" s="176">
        <f>USD!U99</f>
        <v>0.85</v>
      </c>
      <c r="V98" s="176">
        <f>USD!V99</f>
        <v>0.7</v>
      </c>
      <c r="W98" s="176">
        <f>USD!W99</f>
        <v>0.85</v>
      </c>
      <c r="X98" s="176">
        <f>USD!X99</f>
        <v>0.95</v>
      </c>
      <c r="Y98" s="176">
        <f>USD!Y99</f>
        <v>1</v>
      </c>
      <c r="Z98" s="176">
        <f>USD!Z99</f>
        <v>0.9</v>
      </c>
      <c r="AA98" s="176">
        <f>USD!AA99</f>
        <v>0.85</v>
      </c>
    </row>
    <row r="99" spans="15:27" ht="11.25">
      <c r="O99" s="87" t="str">
        <f>USD!O100</f>
        <v>г. Хабаровск</v>
      </c>
      <c r="P99" s="88">
        <f>USD!P100</f>
        <v>120</v>
      </c>
      <c r="Q99" s="88">
        <f>USD!Q100</f>
        <v>100</v>
      </c>
      <c r="R99" s="176">
        <f>USD!R100</f>
        <v>0.95</v>
      </c>
      <c r="S99" s="176">
        <f>USD!S100</f>
        <v>0.95</v>
      </c>
      <c r="T99" s="176">
        <f>USD!T100</f>
        <v>0.9</v>
      </c>
      <c r="U99" s="176">
        <f>USD!U100</f>
        <v>0.95</v>
      </c>
      <c r="V99" s="176">
        <f>USD!V100</f>
        <v>0.95</v>
      </c>
      <c r="W99" s="176">
        <f>USD!W100</f>
        <v>0.95</v>
      </c>
      <c r="X99" s="176">
        <f>USD!X100</f>
        <v>0.95</v>
      </c>
      <c r="Y99" s="176">
        <f>USD!Y100</f>
        <v>1</v>
      </c>
      <c r="Z99" s="176">
        <f>USD!Z100</f>
        <v>0.9</v>
      </c>
      <c r="AA99" s="176">
        <f>USD!AA100</f>
        <v>0.85</v>
      </c>
    </row>
    <row r="100" spans="15:27" ht="11.25">
      <c r="O100" s="87" t="str">
        <f>USD!O101</f>
        <v>Челябинская область (не включая г. Челябинск)</v>
      </c>
      <c r="P100" s="88">
        <f>USD!P101</f>
        <v>100</v>
      </c>
      <c r="Q100" s="88">
        <f>USD!Q101</f>
        <v>85</v>
      </c>
      <c r="R100" s="176">
        <f>USD!R101</f>
        <v>0.85</v>
      </c>
      <c r="S100" s="176">
        <f>USD!S101</f>
        <v>0.85</v>
      </c>
      <c r="T100" s="176">
        <f>USD!T101</f>
        <v>0.7</v>
      </c>
      <c r="U100" s="176">
        <f>USD!U101</f>
        <v>0.85</v>
      </c>
      <c r="V100" s="176">
        <f>USD!V101</f>
        <v>0.7</v>
      </c>
      <c r="W100" s="176">
        <f>USD!W101</f>
        <v>0.85</v>
      </c>
      <c r="X100" s="176">
        <f>USD!X101</f>
        <v>0.95</v>
      </c>
      <c r="Y100" s="176">
        <f>USD!Y101</f>
        <v>1</v>
      </c>
      <c r="Z100" s="176">
        <f>USD!Z101</f>
        <v>0.9</v>
      </c>
      <c r="AA100" s="176">
        <f>USD!AA101</f>
        <v>0.85</v>
      </c>
    </row>
    <row r="101" spans="15:27" ht="11.25">
      <c r="O101" s="87" t="str">
        <f>USD!O102</f>
        <v>г. Челябинск</v>
      </c>
      <c r="P101" s="88">
        <f>USD!P102</f>
        <v>100</v>
      </c>
      <c r="Q101" s="88">
        <f>USD!Q102</f>
        <v>85</v>
      </c>
      <c r="R101" s="176">
        <f>USD!R102</f>
        <v>0.9</v>
      </c>
      <c r="S101" s="176">
        <f>USD!S102</f>
        <v>0.85</v>
      </c>
      <c r="T101" s="176">
        <f>USD!T102</f>
        <v>0.7</v>
      </c>
      <c r="U101" s="176">
        <f>USD!U102</f>
        <v>0.85</v>
      </c>
      <c r="V101" s="176">
        <f>USD!V102</f>
        <v>0.7</v>
      </c>
      <c r="W101" s="176">
        <f>USD!W102</f>
        <v>0.9</v>
      </c>
      <c r="X101" s="176">
        <f>USD!X102</f>
        <v>0.95</v>
      </c>
      <c r="Y101" s="176">
        <f>USD!Y102</f>
        <v>1</v>
      </c>
      <c r="Z101" s="176">
        <f>USD!Z102</f>
        <v>0.9</v>
      </c>
      <c r="AA101" s="176">
        <f>USD!AA102</f>
        <v>0.85</v>
      </c>
    </row>
    <row r="102" spans="15:27" ht="11.25">
      <c r="O102" s="87" t="str">
        <f>USD!O103</f>
        <v>Чувашская республика (включая г. Чебоксары)</v>
      </c>
      <c r="P102" s="88">
        <f>USD!P103</f>
        <v>100</v>
      </c>
      <c r="Q102" s="88">
        <f>USD!Q103</f>
        <v>85</v>
      </c>
      <c r="R102" s="176">
        <f>USD!R103</f>
        <v>0.85</v>
      </c>
      <c r="S102" s="176">
        <f>USD!S103</f>
        <v>0.85</v>
      </c>
      <c r="T102" s="176">
        <f>USD!T103</f>
        <v>0.7</v>
      </c>
      <c r="U102" s="176">
        <f>USD!U103</f>
        <v>0.85</v>
      </c>
      <c r="V102" s="176">
        <f>USD!V103</f>
        <v>0.7</v>
      </c>
      <c r="W102" s="176">
        <f>USD!W103</f>
        <v>0.85</v>
      </c>
      <c r="X102" s="176">
        <f>USD!X103</f>
        <v>0.95</v>
      </c>
      <c r="Y102" s="176">
        <f>USD!Y103</f>
        <v>1</v>
      </c>
      <c r="Z102" s="176">
        <f>USD!Z103</f>
        <v>0.9</v>
      </c>
      <c r="AA102" s="176">
        <f>USD!AA103</f>
        <v>0.85</v>
      </c>
    </row>
    <row r="103" spans="15:27" ht="11.25">
      <c r="O103" s="87" t="str">
        <f>USD!O104</f>
        <v>Ярославская область (не включая г. Ярославль)</v>
      </c>
      <c r="P103" s="88">
        <f>USD!P104</f>
        <v>100</v>
      </c>
      <c r="Q103" s="88">
        <f>USD!Q104</f>
        <v>85</v>
      </c>
      <c r="R103" s="176">
        <f>USD!R104</f>
        <v>0.85</v>
      </c>
      <c r="S103" s="176">
        <f>USD!S104</f>
        <v>0.85</v>
      </c>
      <c r="T103" s="176">
        <f>USD!T104</f>
        <v>0.7</v>
      </c>
      <c r="U103" s="176">
        <f>USD!U104</f>
        <v>0.85</v>
      </c>
      <c r="V103" s="176">
        <f>USD!V104</f>
        <v>0.7</v>
      </c>
      <c r="W103" s="176">
        <f>USD!W104</f>
        <v>0.85</v>
      </c>
      <c r="X103" s="176">
        <f>USD!X104</f>
        <v>0.95</v>
      </c>
      <c r="Y103" s="176">
        <f>USD!Y104</f>
        <v>1</v>
      </c>
      <c r="Z103" s="176">
        <f>USD!Z104</f>
        <v>0.9</v>
      </c>
      <c r="AA103" s="176">
        <f>USD!AA104</f>
        <v>0.85</v>
      </c>
    </row>
    <row r="104" spans="15:27" ht="11.25">
      <c r="O104" s="87" t="str">
        <f>USD!O105</f>
        <v>г. Ярославль</v>
      </c>
      <c r="P104" s="88">
        <f>USD!P105</f>
        <v>100</v>
      </c>
      <c r="Q104" s="88">
        <f>USD!Q105</f>
        <v>85</v>
      </c>
      <c r="R104" s="176">
        <f>USD!R105</f>
        <v>0.9</v>
      </c>
      <c r="S104" s="176">
        <f>USD!S105</f>
        <v>0.85</v>
      </c>
      <c r="T104" s="176">
        <f>USD!T105</f>
        <v>0.7</v>
      </c>
      <c r="U104" s="176">
        <f>USD!U105</f>
        <v>0.85</v>
      </c>
      <c r="V104" s="176">
        <f>USD!V105</f>
        <v>0.7</v>
      </c>
      <c r="W104" s="176">
        <f>USD!W105</f>
        <v>0.9</v>
      </c>
      <c r="X104" s="176">
        <f>USD!X105</f>
        <v>0.95</v>
      </c>
      <c r="Y104" s="176">
        <f>USD!Y105</f>
        <v>1</v>
      </c>
      <c r="Z104" s="176">
        <f>USD!Z105</f>
        <v>0.9</v>
      </c>
      <c r="AA104" s="176">
        <f>USD!AA105</f>
        <v>0.85</v>
      </c>
    </row>
  </sheetData>
  <sheetProtection password="84F1" sheet="1" objects="1" scenarios="1"/>
  <mergeCells count="12">
    <mergeCell ref="Y25:AA25"/>
    <mergeCell ref="U25:V25"/>
    <mergeCell ref="W25:X25"/>
    <mergeCell ref="A7:C7"/>
    <mergeCell ref="A8:C8"/>
    <mergeCell ref="G6:I6"/>
    <mergeCell ref="B2:H2"/>
    <mergeCell ref="E4:I4"/>
    <mergeCell ref="E5:I5"/>
    <mergeCell ref="B4:D4"/>
    <mergeCell ref="A5:C5"/>
    <mergeCell ref="A6:C6"/>
  </mergeCells>
  <dataValidations count="6">
    <dataValidation type="list" allowBlank="1" showInputMessage="1" showErrorMessage="1" sqref="B4">
      <formula1>$O$4:$O$5</formula1>
    </dataValidation>
    <dataValidation type="whole" operator="lessThanOrEqual" allowBlank="1" showInputMessage="1" showErrorMessage="1" promptTitle="Ограничения по срокам кредита" prompt="При типе выданного кредита &quot;Залог недвижимости&quot; срок кредита не может превышать 10 лет. Будьте внимательны!!!" sqref="D6">
      <formula1>25</formula1>
    </dataValidation>
    <dataValidation type="whole" allowBlank="1" showInputMessage="1" showErrorMessage="1" sqref="E6:F9">
      <formula1>1</formula1>
      <formula2>4</formula2>
    </dataValidation>
    <dataValidation operator="lessThanOrEqual" allowBlank="1" showInputMessage="1" showErrorMessage="1" sqref="D14 B12"/>
    <dataValidation type="list" allowBlank="1" showInputMessage="1" showErrorMessage="1" sqref="B2:H2">
      <formula1>$O$27:$O$104</formula1>
    </dataValidation>
    <dataValidation type="whole" allowBlank="1" showInputMessage="1" showErrorMessage="1" sqref="D8">
      <formula1>1</formula1>
      <formula2>6</formula2>
    </dataValidation>
  </dataValidations>
  <printOptions/>
  <pageMargins left="0.75" right="0.75" top="1" bottom="1" header="0.5" footer="0.5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105"/>
  <sheetViews>
    <sheetView workbookViewId="0" topLeftCell="A1">
      <selection activeCell="B22" sqref="B22"/>
    </sheetView>
  </sheetViews>
  <sheetFormatPr defaultColWidth="9.00390625" defaultRowHeight="12.75"/>
  <cols>
    <col min="1" max="1" width="26.75390625" style="1" customWidth="1"/>
    <col min="2" max="2" width="16.75390625" style="2" customWidth="1"/>
    <col min="3" max="3" width="5.75390625" style="2" customWidth="1"/>
    <col min="4" max="4" width="16.75390625" style="2" customWidth="1"/>
    <col min="5" max="5" width="5.75390625" style="2" customWidth="1"/>
    <col min="6" max="6" width="16.75390625" style="2" customWidth="1"/>
    <col min="7" max="7" width="5.75390625" style="2" customWidth="1"/>
    <col min="8" max="8" width="16.75390625" style="2" customWidth="1"/>
    <col min="9" max="9" width="5.75390625" style="2" customWidth="1"/>
    <col min="10" max="10" width="16.75390625" style="2" customWidth="1"/>
    <col min="11" max="11" width="9.125" style="2" customWidth="1"/>
    <col min="12" max="12" width="10.375" style="2" customWidth="1"/>
    <col min="13" max="13" width="10.00390625" style="2" customWidth="1"/>
    <col min="14" max="14" width="12.625" style="2" hidden="1" customWidth="1"/>
    <col min="15" max="15" width="20.375" style="2" hidden="1" customWidth="1"/>
    <col min="16" max="16" width="11.625" style="2" hidden="1" customWidth="1"/>
    <col min="17" max="17" width="12.375" style="2" hidden="1" customWidth="1"/>
    <col min="18" max="18" width="12.125" style="2" hidden="1" customWidth="1"/>
    <col min="19" max="19" width="12.375" style="2" hidden="1" customWidth="1"/>
    <col min="20" max="20" width="10.00390625" style="2" hidden="1" customWidth="1"/>
    <col min="21" max="21" width="12.125" style="2" hidden="1" customWidth="1"/>
    <col min="22" max="22" width="10.875" style="2" hidden="1" customWidth="1"/>
    <col min="23" max="23" width="11.75390625" style="2" hidden="1" customWidth="1"/>
    <col min="24" max="24" width="11.125" style="2" hidden="1" customWidth="1"/>
    <col min="25" max="25" width="10.375" style="2" hidden="1" customWidth="1"/>
    <col min="26" max="26" width="14.625" style="2" hidden="1" customWidth="1"/>
    <col min="27" max="27" width="12.75390625" style="2" hidden="1" customWidth="1"/>
    <col min="28" max="16384" width="9.125" style="2" customWidth="1"/>
  </cols>
  <sheetData>
    <row r="1" ht="13.5" thickBot="1"/>
    <row r="2" spans="1:15" ht="17.25" thickBot="1" thickTop="1">
      <c r="A2" s="31" t="s">
        <v>26</v>
      </c>
      <c r="B2" s="200" t="s">
        <v>141</v>
      </c>
      <c r="C2" s="201"/>
      <c r="D2" s="201"/>
      <c r="E2" s="201"/>
      <c r="F2" s="201"/>
      <c r="G2" s="201"/>
      <c r="H2" s="202"/>
      <c r="J2" s="32">
        <f>O2</f>
        <v>100</v>
      </c>
      <c r="O2" s="7">
        <f>IF(C5&gt;=USD!V114,O6,O5)</f>
        <v>100</v>
      </c>
    </row>
    <row r="3" spans="15:17" ht="14.25" thickBot="1" thickTop="1">
      <c r="O3" s="2">
        <f>VLOOKUP(B2,O28:R105,4,FALSE)</f>
        <v>0.85</v>
      </c>
      <c r="Q3" s="79" t="s">
        <v>128</v>
      </c>
    </row>
    <row r="4" spans="1:17" ht="17.25" thickBot="1" thickTop="1">
      <c r="A4" s="194" t="s">
        <v>0</v>
      </c>
      <c r="B4" s="195"/>
      <c r="C4" s="33">
        <v>15</v>
      </c>
      <c r="D4" s="54" t="s">
        <v>1</v>
      </c>
      <c r="E4" s="196" t="s">
        <v>2</v>
      </c>
      <c r="F4" s="243"/>
      <c r="G4" s="205">
        <f>IF(C4&lt;=USD!O136,USD!P136,IF(C4&lt;=USD!O137,USD!P137,IF(C4&lt;=USD!O138,USD!P138,IF(C4&lt;=USD!O139,USD!P139,IF(C4&lt;=USD!O140,USD!P140,10)))))</f>
        <v>0.11</v>
      </c>
      <c r="H4" s="193"/>
      <c r="Q4" s="79" t="s">
        <v>131</v>
      </c>
    </row>
    <row r="5" spans="1:15" ht="17.25" thickBot="1" thickTop="1">
      <c r="A5" s="203" t="s">
        <v>3</v>
      </c>
      <c r="B5" s="242"/>
      <c r="C5" s="33">
        <v>3</v>
      </c>
      <c r="E5" s="244" t="s">
        <v>127</v>
      </c>
      <c r="F5" s="244"/>
      <c r="G5" s="211" t="s">
        <v>128</v>
      </c>
      <c r="H5" s="212"/>
      <c r="O5" s="7">
        <f>VLOOKUP(B2,O28:Q105,2,FALSE)</f>
        <v>100</v>
      </c>
    </row>
    <row r="6" spans="1:15" ht="17.25" thickBot="1" thickTop="1">
      <c r="A6" s="74"/>
      <c r="B6" s="177"/>
      <c r="C6" s="100"/>
      <c r="D6" s="239" t="s">
        <v>129</v>
      </c>
      <c r="E6" s="239"/>
      <c r="F6" s="239"/>
      <c r="G6" s="237">
        <v>25000</v>
      </c>
      <c r="H6" s="238"/>
      <c r="N6" s="7">
        <f>O2*C5</f>
        <v>300</v>
      </c>
      <c r="O6" s="7">
        <f>VLOOKUP(B2,O28:Q105,3,FALSE)</f>
        <v>85</v>
      </c>
    </row>
    <row r="7" spans="1:15" ht="17.25" customHeight="1" thickBot="1" thickTop="1">
      <c r="A7" s="74"/>
      <c r="B7" s="177"/>
      <c r="C7" s="100"/>
      <c r="D7" s="239" t="s">
        <v>130</v>
      </c>
      <c r="E7" s="239"/>
      <c r="F7" s="239"/>
      <c r="G7" s="240">
        <v>6</v>
      </c>
      <c r="H7" s="241"/>
      <c r="I7" s="178" t="s">
        <v>34</v>
      </c>
      <c r="O7" s="11">
        <f>VLOOKUP(B2,O28:AA105,11,FALSE)</f>
        <v>1</v>
      </c>
    </row>
    <row r="8" spans="2:15" ht="27" customHeight="1" thickTop="1">
      <c r="B8" s="27" t="s">
        <v>4</v>
      </c>
      <c r="C8" s="102"/>
      <c r="D8" s="27" t="s">
        <v>5</v>
      </c>
      <c r="E8" s="102"/>
      <c r="F8" s="27" t="s">
        <v>6</v>
      </c>
      <c r="G8" s="102"/>
      <c r="H8" s="27" t="s">
        <v>7</v>
      </c>
      <c r="I8" s="102"/>
      <c r="J8" s="27" t="s">
        <v>8</v>
      </c>
      <c r="O8" s="11">
        <f>VLOOKUP(B2,O28:AA105,12,FALSE)</f>
        <v>0.9</v>
      </c>
    </row>
    <row r="9" spans="2:15" ht="12.75" customHeight="1" thickBot="1">
      <c r="B9" s="6"/>
      <c r="D9" s="6"/>
      <c r="F9" s="6"/>
      <c r="H9" s="6"/>
      <c r="O9" s="11">
        <f>VLOOKUP(B2,O28:AA105,13,FALSE)</f>
        <v>0.85</v>
      </c>
    </row>
    <row r="10" spans="1:23" s="10" customFormat="1" ht="27" customHeight="1" thickBot="1" thickTop="1">
      <c r="A10" s="178" t="s">
        <v>132</v>
      </c>
      <c r="B10" s="39">
        <v>290151</v>
      </c>
      <c r="C10" s="40"/>
      <c r="D10" s="41">
        <f>ROUND(MAX(D12/$O$7,D12/$O$8-$G$6*0.9),0)</f>
        <v>292651</v>
      </c>
      <c r="E10" s="40"/>
      <c r="F10" s="41">
        <f>ROUND(MAX(F12/$O$7,F12/$O$8-$G$6*0.9),0)</f>
        <v>292651</v>
      </c>
      <c r="G10" s="40"/>
      <c r="H10" s="41">
        <f>ROUND(MAX(H12/$O$7,H12/$O$8-$G$6*0.9),0)</f>
        <v>289874</v>
      </c>
      <c r="I10" s="40"/>
      <c r="J10" s="42">
        <v>0</v>
      </c>
      <c r="N10" s="81">
        <f>(IF(B14&lt;B16,B16,B14)+$N$6)/(USD!$T$123+IF($G$5=$Q$3,IF(B14&lt;B16,0,USD!$P$131),0))</f>
        <v>5471.272396963962</v>
      </c>
      <c r="O10" s="81">
        <f>IF(B14&lt;B16,B16,B14)/(USD!$S$123+IF($G$5=$Q$3,IF(B14&lt;B16,0,USD!$P$131),0))</f>
        <v>7456.9085954459415</v>
      </c>
      <c r="P10" s="81">
        <f>(IF(D14&lt;D16,D16,D14)+$N$6)/(USD!$T$123+IF($G$5=$Q$3,IF(D14&lt;D16,0,USD!$P$131),0))</f>
        <v>5514.478143482387</v>
      </c>
      <c r="Q10" s="81">
        <f>IF(D14&lt;D16,D16,D14)/(USD!$S$123+IF($G$5=$Q$3,IF(D14&lt;D16,0,USD!$P$131),0))</f>
        <v>7521.71721522358</v>
      </c>
      <c r="R10" s="81">
        <f>(IF(F14&lt;F16,F16,F14)+$N$6)/(USD!$T$123+IF($G$5=$Q$3,IF(F14&lt;F16,0,USD!$P$131),0))</f>
        <v>5514.478143482387</v>
      </c>
      <c r="S10" s="81">
        <f>IF(F14&lt;F16,F16,F14)/(USD!$S$123+IF($G$5=$Q$3,IF(F14&lt;F16,0,USD!$P$131),0))</f>
        <v>7521.71721522358</v>
      </c>
      <c r="T10" s="2"/>
      <c r="U10" s="2"/>
      <c r="V10" s="81">
        <f>(IF(J14&lt;J16,J16,J14)+$N$6)/(USD!$T$123+IF($G$5=$Q$3,IF(J14&lt;J16,0,USD!$P$131),0))</f>
        <v>428.5714285714286</v>
      </c>
      <c r="W10" s="81">
        <f>IF(J14&lt;J16,J16,J14)/(USD!$S$123+IF($G$5=$Q$3,IF(J14&lt;J16,0,USD!$P$131),0))</f>
        <v>0</v>
      </c>
    </row>
    <row r="11" spans="1:23" ht="9" customHeight="1" thickBot="1" thickTop="1">
      <c r="A11" s="101"/>
      <c r="B11" s="40"/>
      <c r="C11" s="40"/>
      <c r="D11" s="40"/>
      <c r="E11" s="40"/>
      <c r="F11" s="40"/>
      <c r="G11" s="40"/>
      <c r="H11" s="40"/>
      <c r="I11" s="40"/>
      <c r="J11" s="40"/>
      <c r="L11" s="10"/>
      <c r="M11" s="12"/>
      <c r="N11" s="80"/>
      <c r="O11" s="81">
        <f>USD!$R$123+0.01</f>
        <v>1000.01</v>
      </c>
      <c r="P11" s="80"/>
      <c r="Q11" s="81">
        <f>USD!$R$123+0.01</f>
        <v>1000.01</v>
      </c>
      <c r="R11" s="80"/>
      <c r="S11" s="81">
        <f>USD!$R$123+0.01</f>
        <v>1000.01</v>
      </c>
      <c r="V11" s="80"/>
      <c r="W11" s="81">
        <f>USD!$R$123+0.01</f>
        <v>1000.01</v>
      </c>
    </row>
    <row r="12" spans="1:23" s="14" customFormat="1" ht="27" customHeight="1" thickBot="1" thickTop="1">
      <c r="A12" s="31" t="s">
        <v>10</v>
      </c>
      <c r="B12" s="43">
        <f>ROUND(MIN(B10*O7,(B10+G6*0.9)*O8),0)</f>
        <v>281386</v>
      </c>
      <c r="C12" s="8"/>
      <c r="D12" s="44">
        <v>283636</v>
      </c>
      <c r="E12" s="9"/>
      <c r="F12" s="43">
        <f>ROUND(IF($G$5=$Q$3,F14/($G$4/12),F14/(($G$4/12)/(1-(1+($G$4/12))^-($C$4*12)))),0)</f>
        <v>283636</v>
      </c>
      <c r="G12" s="9"/>
      <c r="H12" s="43">
        <f>ROUND(IF($G$5=$Q$3,H14/($G$4/12),H14/(($G$4/12)/(1-(1+($G$4/12))^-($C$4*12)))),0)</f>
        <v>281137</v>
      </c>
      <c r="I12" s="9"/>
      <c r="J12" s="45">
        <v>0</v>
      </c>
      <c r="N12" s="81">
        <f>(IF(B14&lt;B16,B16,B14)+$N$6)/(USD!$T$124+IF($G$5=$Q$3,IF(B14&lt;B16,0,USD!$P$131),0))</f>
        <v>5050.4052895051955</v>
      </c>
      <c r="O12" s="81">
        <f>IF(B14&lt;B16,B16,B14)/(USD!$S$124+IF($G$5=$Q$3,IF(B14&lt;B16,0,USD!$P$131),0))</f>
        <v>6628.363195951948</v>
      </c>
      <c r="P12" s="81">
        <f>(IF(D14&lt;D16,D16,D14)+$N$6)/(USD!$T$124+IF($G$5=$Q$3,IF(D14&lt;D16,0,USD!$P$131),0))</f>
        <v>5090.287517060664</v>
      </c>
      <c r="Q12" s="81">
        <f>IF(D14&lt;D16,D16,D14)/(USD!$S$124+IF($G$5=$Q$3,IF(D14&lt;D16,0,USD!$P$131),0))</f>
        <v>6685.970857976516</v>
      </c>
      <c r="R12" s="81">
        <f>(IF(F14&lt;F16,F16,F14)+$N$6)/(USD!$T$124+IF($G$5=$Q$3,IF(F14&lt;F16,0,USD!$P$131),0))</f>
        <v>5090.287517060664</v>
      </c>
      <c r="S12" s="81">
        <f>IF(F14&lt;F16,F16,F14)/(USD!$S$124+IF($G$5=$Q$3,IF(F14&lt;F16,0,USD!$P$131),0))</f>
        <v>6685.970857976516</v>
      </c>
      <c r="T12" s="10"/>
      <c r="U12" s="10"/>
      <c r="V12" s="81">
        <f>(IF(J14&lt;J16,J16,J14)+$N$6)/(USD!$T$124+IF($G$5=$Q$3,IF(J14&lt;J16,0,USD!$P$131),0))</f>
        <v>400</v>
      </c>
      <c r="W12" s="81">
        <f>IF(J14&lt;J16,J16,J14)/(USD!$S$124+IF($G$5=$Q$3,IF(J14&lt;J16,0,USD!$P$131),0))</f>
        <v>0</v>
      </c>
    </row>
    <row r="13" spans="1:23" ht="9" customHeight="1" thickBot="1" thickTop="1">
      <c r="A13" s="36"/>
      <c r="B13" s="9"/>
      <c r="C13" s="9"/>
      <c r="D13" s="9"/>
      <c r="E13" s="40"/>
      <c r="F13" s="9"/>
      <c r="G13" s="40"/>
      <c r="H13" s="9"/>
      <c r="I13" s="40"/>
      <c r="J13" s="9"/>
      <c r="N13" s="81"/>
      <c r="O13" s="81">
        <f>USD!$R$124+0.01</f>
        <v>2000.01</v>
      </c>
      <c r="P13" s="81"/>
      <c r="Q13" s="81">
        <f>USD!$R$124+0.01</f>
        <v>2000.01</v>
      </c>
      <c r="R13" s="81"/>
      <c r="S13" s="81">
        <f>USD!$R$124+0.01</f>
        <v>2000.01</v>
      </c>
      <c r="V13" s="81"/>
      <c r="W13" s="81">
        <f>USD!$R$124+0.01</f>
        <v>2000.01</v>
      </c>
    </row>
    <row r="14" spans="1:24" ht="27" customHeight="1" thickBot="1" thickTop="1">
      <c r="A14" s="38" t="str">
        <f>IF(G5=Q3,"Ежемес. платежи до продажи старой квартиры","Ежемес. платежи до снятия обременения")</f>
        <v>Ежемес. платежи до продажи старой квартиры</v>
      </c>
      <c r="B14" s="46">
        <f>ROUND(IF($G$5=$Q$3,B12*$G$4/12,B12*(($G$4/12)/(1-(1+($G$4/12))^-($C$4*12)))),0)</f>
        <v>2579</v>
      </c>
      <c r="C14" s="23"/>
      <c r="D14" s="46">
        <f>ROUND(IF($G$5=$Q$3,D12*$G$4/12,D12*(($G$4/12)/(1-(1+($G$4/12))^-($C$4*12)))),0)</f>
        <v>2600</v>
      </c>
      <c r="E14" s="47"/>
      <c r="F14" s="48">
        <v>2600</v>
      </c>
      <c r="G14" s="47"/>
      <c r="H14" s="46">
        <f>IF(G5=Q3,IF(X15&gt;H28,H28,X15),X14)</f>
        <v>2577.093481579881</v>
      </c>
      <c r="I14" s="47"/>
      <c r="J14" s="46">
        <v>0</v>
      </c>
      <c r="L14" s="13"/>
      <c r="N14" s="81">
        <f>(IF(B14&lt;B16,B16,B14)+$N$6)/(USD!$T$125+IF($G$5=$Q$3,IF(B14&lt;B16,0,USD!$P$131),0))</f>
        <v>4689.6620545405385</v>
      </c>
      <c r="O14" s="81">
        <f>IF(B14&lt;B16,B16,B14)/(USD!$S$125+IF($G$5=$Q$3,IF(B14&lt;B16,0,USD!$P$131),0))</f>
        <v>5965.526876356754</v>
      </c>
      <c r="P14" s="81">
        <f>(IF(D14&lt;D16,D16,D14)+$N$6)/(USD!$T$125+IF($G$5=$Q$3,IF(D14&lt;D16,0,USD!$P$131),0))</f>
        <v>4726.695551556331</v>
      </c>
      <c r="Q14" s="81">
        <f>IF(D14&lt;D16,D16,D14)/(USD!$S$125+IF($G$5=$Q$3,IF(D14&lt;D16,0,USD!$P$131),0))</f>
        <v>6017.373772178864</v>
      </c>
      <c r="R14" s="81">
        <f>(IF(F14&lt;F16,F16,F14)+$N$6)/(USD!$T$125+IF($G$5=$Q$3,IF(F14&lt;F16,0,USD!$P$131),0))</f>
        <v>4726.695551556331</v>
      </c>
      <c r="S14" s="81">
        <f>IF(F14&lt;F16,F16,F14)/(USD!$S$125+IF($G$5=$Q$3,IF(F14&lt;F16,0,USD!$P$131),0))</f>
        <v>6017.373772178864</v>
      </c>
      <c r="T14" s="14"/>
      <c r="U14" s="14"/>
      <c r="V14" s="81">
        <f>(IF(J14&lt;J16,J16,J14)+$N$6)/(USD!$T$125+IF($G$5=$Q$3,IF(J14&lt;J16,0,USD!$P$131),0))</f>
        <v>375.00000000000006</v>
      </c>
      <c r="W14" s="81">
        <f>IF(J14&lt;J16,J16,J14)/(USD!$S$125+IF($G$5=$Q$3,IF(J14&lt;J16,0,USD!$P$131),0))</f>
        <v>0</v>
      </c>
      <c r="X14" s="2">
        <f>IF(H18=0,0,IF(H18&lt;=USD!R123,MIN(H18*USD!T123-N6,H18*USD!S123),IF(H18&lt;=USD!R124,MIN(H18*USD!T124-N6,H18*USD!S124),IF(H18&lt;=USD!R125,MIN(H18*USD!T125-N6,H18*USD!S125),IF(H18&lt;=USD!R126,MIN(H18*USD!T126-N6,H18*USD!S126),IF(H18&lt;=USD!R127,MIN(H18*USD!T127-N6,H18*USD!S127),IF(H18&lt;=USD!R128,MIN(H18*USD!T128-N6,H18*USD!S128),MIN(H18*USD!T129-N6,H18*USD!S129))))))))</f>
        <v>2979.9</v>
      </c>
    </row>
    <row r="15" spans="1:24" ht="9" customHeight="1" thickTop="1">
      <c r="A15" s="37"/>
      <c r="B15" s="71"/>
      <c r="C15" s="23"/>
      <c r="D15" s="71"/>
      <c r="E15" s="47"/>
      <c r="F15" s="180"/>
      <c r="G15" s="47"/>
      <c r="H15" s="71"/>
      <c r="I15" s="47"/>
      <c r="J15" s="71"/>
      <c r="N15" s="81"/>
      <c r="O15" s="81">
        <f>USD!$R$125+0.01</f>
        <v>3000.01</v>
      </c>
      <c r="P15" s="81"/>
      <c r="Q15" s="81">
        <f>USD!$R$125+0.01</f>
        <v>3000.01</v>
      </c>
      <c r="R15" s="81"/>
      <c r="S15" s="81">
        <f>USD!$R$125+0.01</f>
        <v>3000.01</v>
      </c>
      <c r="V15" s="81"/>
      <c r="W15" s="81">
        <f>USD!$R$125+0.01</f>
        <v>3000.01</v>
      </c>
      <c r="X15" s="2">
        <f>IF(H18=0,0,IF(H18&lt;=USD!R123,MIN(H18*(USD!T123+USD!P131)-N6,H18*(USD!S123+USD!P131)),IF(H18&lt;=USD!R124,MIN(H18*(USD!T124+USD!P131)-N6,H18*(USD!S124+USD!P131)),IF(H18&lt;=USD!R125,MIN(H18*(USD!T125+USD!P131)-N6,H18*(USD!S125+USD!P131)),IF(H18&lt;=USD!R126,MIN(H18*(USD!T126+USD!P131)-N6,H18*(USD!S126+USD!P131)),IF(H18&lt;=USD!R127,MIN(H18*(USD!T127+USD!P131)-N6,H18*(USD!S127+USD!P131)),IF(H18&lt;=USD!R128,MIN(H18*(USD!T128+USD!P131)-N6,H18*(USD!S128+USD!P131)),MIN(H18*(USD!T129+USD!P131)-N6,H18*(USD!S129+USD!P131)))))))))</f>
        <v>3521.7000000000003</v>
      </c>
    </row>
    <row r="16" spans="1:24" ht="27" customHeight="1">
      <c r="A16" s="38" t="str">
        <f>IF(G5=Q3,"Ежемес. платежи после продажи старой квартиры","Ежемес. платежи gckt снятия обременения")</f>
        <v>Ежемес. платежи после продажи старой квартиры</v>
      </c>
      <c r="B16" s="46">
        <f>IF($G$5=$Q$3,B22*(($G$4/12)/(1-(1+($G$4/12))^-($C$4*12-$G$7))),B14)</f>
        <v>2982.763438178377</v>
      </c>
      <c r="C16" s="23"/>
      <c r="D16" s="46">
        <f>IF($G$5=$Q$3,D22*(($G$4/12)/(1-(1+($G$4/12))^-($C$4*12-$G$7))),D14)</f>
        <v>3008.686886089432</v>
      </c>
      <c r="E16" s="47"/>
      <c r="F16" s="46">
        <f>IF($G$5=$Q$3,F22*(($G$4/12)/(1-(1+($G$4/12))^-($C$4*12-$G$7))),F14)</f>
        <v>3008.686886089432</v>
      </c>
      <c r="G16" s="47"/>
      <c r="H16" s="46">
        <f>IF(X15&lt;X16,X14,IF($G$5=$Q$3,H22*(($G$4/12)/(1-(1+($G$4/12))^-($C$4*12-$G$7))),X14))</f>
        <v>2979.8945766095535</v>
      </c>
      <c r="I16" s="47"/>
      <c r="J16" s="46">
        <v>0</v>
      </c>
      <c r="N16" s="81">
        <f>(IF(B14&lt;B16,B16,B14)+$N$6)/(USD!$T$126+IF($G$5=$Q$3,IF(B14&lt;B16,0,USD!$P$131),0))</f>
        <v>4377.017917571169</v>
      </c>
      <c r="O16" s="81">
        <f>IF(B14&lt;B16,B16,B14)/(USD!$S$126+IF($G$5=$Q$3,IF(B14&lt;B16,0,USD!$P$131),0))</f>
        <v>5423.206251233412</v>
      </c>
      <c r="P16" s="81">
        <f>(IF(D14&lt;D16,D16,D14)+$N$6)/(USD!$T$126+IF($G$5=$Q$3,IF(D14&lt;D16,0,USD!$P$131),0))</f>
        <v>4411.58251478591</v>
      </c>
      <c r="Q16" s="81">
        <f>IF(D14&lt;D16,D16,D14)/(USD!$S$126+IF($G$5=$Q$3,IF(D14&lt;D16,0,USD!$P$131),0))</f>
        <v>5470.339792889876</v>
      </c>
      <c r="R16" s="81">
        <f>(IF(F14&lt;F16,F16,F14)+$N$6)/(USD!$T$126+IF($G$5=$Q$3,IF(F14&lt;F16,0,USD!$P$131),0))</f>
        <v>4411.58251478591</v>
      </c>
      <c r="S16" s="81">
        <f>IF(F14&lt;F16,F16,F14)/(USD!$S$126+IF($G$5=$Q$3,IF(F14&lt;F16,0,USD!$P$131),0))</f>
        <v>5470.339792889876</v>
      </c>
      <c r="V16" s="81">
        <f>(IF(J14&lt;J16,J16,J14)+$N$6)/(USD!$T$126+IF($G$5=$Q$3,IF(J14&lt;J16,0,USD!$P$131),0))</f>
        <v>352.94117647058823</v>
      </c>
      <c r="W16" s="81">
        <f>IF(J14&lt;J16,J16,J14)/(USD!$S$126+IF($G$5=$Q$3,IF(J14&lt;J16,0,USD!$P$131),0))</f>
        <v>0</v>
      </c>
      <c r="X16" s="2">
        <f>IF($G$5=$Q$3,H22*(($G$4/12)/(1-(1+($G$4/12))^-($C$4*12-$G$7))),H14)</f>
        <v>2979.8945766095535</v>
      </c>
    </row>
    <row r="17" spans="1:23" ht="9" customHeight="1" thickBot="1">
      <c r="A17" s="101"/>
      <c r="B17" s="40"/>
      <c r="C17" s="40"/>
      <c r="D17" s="40"/>
      <c r="E17" s="40"/>
      <c r="F17" s="40"/>
      <c r="G17" s="40"/>
      <c r="H17" s="40"/>
      <c r="I17" s="40"/>
      <c r="J17" s="40"/>
      <c r="N17" s="79"/>
      <c r="O17" s="81">
        <f>USD!$R$126+0.01</f>
        <v>6000.01</v>
      </c>
      <c r="P17" s="79"/>
      <c r="Q17" s="81">
        <f>USD!$R$126+0.01</f>
        <v>6000.01</v>
      </c>
      <c r="R17" s="79"/>
      <c r="S17" s="81">
        <f>USD!$R$126+0.01</f>
        <v>6000.01</v>
      </c>
      <c r="V17" s="79"/>
      <c r="W17" s="81">
        <f>USD!$R$126+0.01</f>
        <v>6000.01</v>
      </c>
    </row>
    <row r="18" spans="1:23" ht="27" customHeight="1" thickBot="1" thickTop="1">
      <c r="A18" s="38" t="s">
        <v>12</v>
      </c>
      <c r="B18" s="49">
        <f>IF(B10=0,0,IF(MAX(N10:O10)&lt;=USD!$R$123,MAX(N10:O10),IF(MAX(N12:O12)&lt;=USD!$R$124,MAX(N11:O12),IF(MAX(N14:O14)&lt;=USD!$R$125,MAX(N13:O14),IF(MAX(N16:O16)&lt;=USD!$R$126,MAX(N15:O16),IF(MAX(N18:O18)&lt;=USD!$R$127,MAX(N17:O18),IF(MAX(N20:O20)&lt;=USD!$R$128,MAX(N19:O20),MAX(N21:O22))))))))</f>
        <v>5423.206251233412</v>
      </c>
      <c r="C18" s="50"/>
      <c r="D18" s="49">
        <f>IF(D10=0,0,IF(MAX(P10:Q10)&lt;=USD!$R$123,MAX(P10:Q10),IF(MAX(P12:Q12)&lt;=USD!$R$124,MAX(P11:Q12),IF(MAX(P14:Q14)&lt;=USD!$R$125,MAX(P13:Q14),IF(MAX(P16:Q16)&lt;=USD!$R$126,MAX(P15:Q16),IF(MAX(P18:Q18)&lt;=USD!$R$127,MAX(P17:Q18),IF(MAX(P20:Q20)&lt;=USD!$R$128,MAX(P19:Q20),MAX(P21:Q22))))))))</f>
        <v>5470.339792889876</v>
      </c>
      <c r="E18" s="40"/>
      <c r="F18" s="49">
        <f>IF(F10=0,0,IF(MAX(R10:S10)&lt;=USD!$R$123,MAX(R10:S10),IF(MAX(R12:S12)&lt;=USD!$R$124,MAX(R11:S12),IF(MAX(R14:S14)&lt;=USD!$R$125,MAX(R13:S14),IF(MAX(R16:S16)&lt;=USD!$R$126,MAX(R15:S16),IF(MAX(R18:S18)&lt;=USD!$R$127,MAX(R17:S18),IF(MAX(R20:S20)&lt;=USD!$R$128,MAX(R19:S20),MAX(R21:S22))))))))</f>
        <v>5470.339792889876</v>
      </c>
      <c r="G18" s="40"/>
      <c r="H18" s="51">
        <v>5418</v>
      </c>
      <c r="I18" s="40"/>
      <c r="J18" s="49">
        <v>0</v>
      </c>
      <c r="N18" s="81">
        <f>(IF(B14&lt;B16,B16,B14)+$N$6)/(USD!$T$127+IF($G$5=$Q$3,IF(B14&lt;B16,0,USD!$P$131),0))</f>
        <v>4103.454297722971</v>
      </c>
      <c r="O18" s="81">
        <f>IF(B14&lt;B16,B16,B14)/(USD!$S$127+IF($G$5=$Q$3,IF(B14&lt;B16,0,USD!$P$131),0))</f>
        <v>4971.272396963962</v>
      </c>
      <c r="P18" s="81">
        <f>(IF(D14&lt;D16,D16,D14)+$N$6)/(USD!$T$127+IF($G$5=$Q$3,IF(D14&lt;D16,0,USD!$P$131),0))</f>
        <v>4135.85860761179</v>
      </c>
      <c r="Q18" s="81">
        <f>IF(D14&lt;D16,D16,D14)/(USD!$S$127+IF($G$5=$Q$3,IF(D14&lt;D16,0,USD!$P$131),0))</f>
        <v>5014.478143482387</v>
      </c>
      <c r="R18" s="81">
        <f>(IF(F14&lt;F16,F16,F14)+$N$6)/(USD!$T$127+IF($G$5=$Q$3,IF(F14&lt;F16,0,USD!$P$131),0))</f>
        <v>4135.85860761179</v>
      </c>
      <c r="S18" s="81">
        <f>IF(F14&lt;F16,F16,F14)/(USD!$S$127+IF($G$5=$Q$3,IF(F14&lt;F16,0,USD!$P$131),0))</f>
        <v>5014.478143482387</v>
      </c>
      <c r="V18" s="81">
        <f>(IF(J14&lt;J16,J16,J14)+$N$6)/(USD!$T$127+IF($G$5=$Q$3,IF(J14&lt;J16,0,USD!$P$131),0))</f>
        <v>333.3333333333333</v>
      </c>
      <c r="W18" s="81">
        <f>IF(J14&lt;J16,J16,J14)/(USD!$S$127+IF($G$5=$Q$3,IF(J14&lt;J16,0,USD!$P$131),0))</f>
        <v>0</v>
      </c>
    </row>
    <row r="19" spans="1:23" ht="9" customHeight="1" thickBot="1" thickTop="1">
      <c r="A19" s="101"/>
      <c r="B19" s="26"/>
      <c r="C19" s="40"/>
      <c r="D19" s="40"/>
      <c r="E19" s="40"/>
      <c r="F19" s="40"/>
      <c r="G19" s="40"/>
      <c r="H19" s="40"/>
      <c r="I19" s="40"/>
      <c r="J19" s="40"/>
      <c r="N19" s="79"/>
      <c r="O19" s="81">
        <f>USD!$R$127+0.01</f>
        <v>9000.01</v>
      </c>
      <c r="P19" s="79"/>
      <c r="Q19" s="81">
        <f>USD!$R$127+0.01</f>
        <v>9000.01</v>
      </c>
      <c r="R19" s="79"/>
      <c r="S19" s="81">
        <f>USD!$R$127+0.01</f>
        <v>9000.01</v>
      </c>
      <c r="V19" s="79"/>
      <c r="W19" s="81">
        <f>USD!$R$127+0.01</f>
        <v>9000.01</v>
      </c>
    </row>
    <row r="20" spans="1:23" ht="27" customHeight="1" thickBot="1" thickTop="1">
      <c r="A20" s="31" t="s">
        <v>13</v>
      </c>
      <c r="B20" s="52">
        <f>ROUND(B10-B12,0)</f>
        <v>8765</v>
      </c>
      <c r="C20" s="40"/>
      <c r="D20" s="52">
        <f>ROUND(D10-D12,0)</f>
        <v>9015</v>
      </c>
      <c r="E20" s="40"/>
      <c r="F20" s="52">
        <f>ROUND(F10-F12,0)</f>
        <v>9015</v>
      </c>
      <c r="G20" s="40"/>
      <c r="H20" s="52">
        <f>ROUND(H10-H12,0)</f>
        <v>8737</v>
      </c>
      <c r="I20" s="40"/>
      <c r="J20" s="53">
        <v>0</v>
      </c>
      <c r="N20" s="81">
        <f>(IF(B14&lt;B16,B16,B14)+$N$6)/(USD!$T$128+IF($G$5=$Q$3,IF(B14&lt;B16,0,USD!$P$131),0))</f>
        <v>3862.074633151032</v>
      </c>
      <c r="O20" s="81">
        <f>IF(B14&lt;B16,B16,B14)/(USD!$S$128+IF($G$5=$Q$3,IF(B14&lt;B16,0,USD!$P$131),0))</f>
        <v>4588.866827966734</v>
      </c>
      <c r="P20" s="81">
        <f>(IF(D14&lt;D16,D16,D14)+$N$6)/(USD!$T$128+IF($G$5=$Q$3,IF(D14&lt;D16,0,USD!$P$131),0))</f>
        <v>3892.572807164038</v>
      </c>
      <c r="Q20" s="81">
        <f>IF(D14&lt;D16,D16,D14)/(USD!$S$128+IF($G$5=$Q$3,IF(D14&lt;D16,0,USD!$P$131),0))</f>
        <v>4628.749055522203</v>
      </c>
      <c r="R20" s="81">
        <f>(IF(F14&lt;F16,F16,F14)+$N$6)/(USD!$T$128+IF($G$5=$Q$3,IF(F14&lt;F16,0,USD!$P$131),0))</f>
        <v>3892.572807164038</v>
      </c>
      <c r="S20" s="81">
        <f>IF(F14&lt;F16,F16,F14)/(USD!$S$128+IF($G$5=$Q$3,IF(F14&lt;F16,0,USD!$P$131),0))</f>
        <v>4628.749055522203</v>
      </c>
      <c r="V20" s="81">
        <f>(IF(J14&lt;J16,J16,J14)+$N$6)/(USD!$T$128+IF($G$5=$Q$3,IF(J14&lt;J16,0,USD!$P$131),0))</f>
        <v>315.7894736842105</v>
      </c>
      <c r="W20" s="81">
        <f>IF(J14&lt;J16,J16,J14)/(USD!$S$128+IF($G$5=$Q$3,IF(J14&lt;J16,0,USD!$P$131),0))</f>
        <v>0</v>
      </c>
    </row>
    <row r="21" spans="14:23" ht="9" customHeight="1" thickTop="1">
      <c r="N21" s="79"/>
      <c r="O21" s="81">
        <f>USD!$R$128+0.01</f>
        <v>12000.01</v>
      </c>
      <c r="P21" s="79"/>
      <c r="Q21" s="81">
        <f>USD!$R$128+0.01</f>
        <v>12000.01</v>
      </c>
      <c r="R21" s="79"/>
      <c r="S21" s="81">
        <f>USD!$R$128+0.01</f>
        <v>12000.01</v>
      </c>
      <c r="V21" s="79"/>
      <c r="W21" s="81">
        <f>USD!$R$128+0.01</f>
        <v>12000.01</v>
      </c>
    </row>
    <row r="22" spans="1:23" ht="27" customHeight="1">
      <c r="A22" s="38" t="str">
        <f>IF(G5=Q3,"ОСЗ после продажи старой квартиры","Сумма ОСЗ для снятия обременения")</f>
        <v>ОСЗ после продажи старой квартиры</v>
      </c>
      <c r="B22" s="73">
        <f>IF($G$5=$Q$3,B12-$G$6*0.9,B12*$O$9)</f>
        <v>258886</v>
      </c>
      <c r="D22" s="73">
        <f>IF($G$5=$Q$3,D12-$G$6*0.9,D12*$O$9)</f>
        <v>261136</v>
      </c>
      <c r="F22" s="73">
        <f>IF($G$5=$Q$3,F12-$G$6*0.9,F12*$O$9)</f>
        <v>261136</v>
      </c>
      <c r="H22" s="73">
        <f>IF($G$5=$Q$3,H12-$G$6*0.9,H12*$O$9)</f>
        <v>258637</v>
      </c>
      <c r="J22" s="73">
        <v>0</v>
      </c>
      <c r="N22" s="81">
        <f>(IF(B14&lt;B16,B16,B14)+$N$6)/(USD!$T$129+IF($G$5=$Q$3,IF(B14&lt;B16,0,USD!$P$131),0))</f>
        <v>3647.5149313093075</v>
      </c>
      <c r="O22" s="81">
        <f>IF(B14&lt;B16,B16,B14)/(USD!$S$129+IF($G$5=$Q$3,IF(B14&lt;B16,0,USD!$P$131),0))</f>
        <v>4261.09062596911</v>
      </c>
      <c r="P22" s="81">
        <f>(IF(D14&lt;D16,D16,D14)+$N$6)/(USD!$T$129+IF($G$5=$Q$3,IF(D14&lt;D16,0,USD!$P$131),0))</f>
        <v>3676.318762321591</v>
      </c>
      <c r="Q22" s="81">
        <f>IF(D14&lt;D16,D16,D14)/(USD!$S$129+IF($G$5=$Q$3,IF(D14&lt;D16,0,USD!$P$131),0))</f>
        <v>4298.124122984903</v>
      </c>
      <c r="R22" s="81">
        <f>(IF(F14&lt;F16,F16,F14)+$N$6)/(USD!$T$129+IF($G$5=$Q$3,IF(F14&lt;F16,0,USD!$P$131),0))</f>
        <v>3676.318762321591</v>
      </c>
      <c r="S22" s="81">
        <f>IF(F14&lt;F16,F16,F14)/(USD!$S$129+IF($G$5=$Q$3,IF(F14&lt;F16,0,USD!$P$131),0))</f>
        <v>4298.124122984903</v>
      </c>
      <c r="V22" s="81">
        <f>(IF(J14&lt;J16,J16,J14)+$N$6)/(USD!$T$129+IF($G$5=$Q$3,IF(J14&lt;J16,0,USD!$P$131),0))</f>
        <v>300</v>
      </c>
      <c r="W22" s="81">
        <f>IF(J14&lt;J16,J16,J14)/(USD!$S$129+IF($G$5=$Q$3,IF(J14&lt;J16,0,USD!$P$131),0))</f>
        <v>0</v>
      </c>
    </row>
    <row r="23" spans="14:23" ht="12.75">
      <c r="N23" s="11"/>
      <c r="O23" s="11"/>
      <c r="P23" s="11"/>
      <c r="Q23" s="11"/>
      <c r="R23" s="11"/>
      <c r="S23" s="11"/>
      <c r="V23" s="11"/>
      <c r="W23" s="11"/>
    </row>
    <row r="24" spans="8:23" ht="12.75" hidden="1">
      <c r="H24" s="179">
        <f>H18</f>
        <v>5418</v>
      </c>
      <c r="I24" s="79"/>
      <c r="J24" s="79"/>
      <c r="N24" s="11"/>
      <c r="O24" s="11"/>
      <c r="P24" s="11"/>
      <c r="Q24" s="11"/>
      <c r="R24" s="11"/>
      <c r="S24" s="11"/>
      <c r="V24" s="11"/>
      <c r="W24" s="11"/>
    </row>
    <row r="25" spans="8:10" ht="12.75" hidden="1">
      <c r="H25" s="79"/>
      <c r="I25" s="79"/>
      <c r="J25" s="79">
        <f>IF(X15&lt;X16,X14,IF($G$5=$Q$2,H22*(($G$4/12)/(1-(1+($G$4/12))^-($C$4*12-$G$7))),H14))</f>
        <v>2577.093481579881</v>
      </c>
    </row>
    <row r="26" spans="8:27" ht="12.75" hidden="1">
      <c r="H26" s="79">
        <f>J29/(($G$4/12)/(1-(1+($G$4/12))^-($C$4*12-$G$7)))</f>
        <v>258637.47071780523</v>
      </c>
      <c r="I26" s="79"/>
      <c r="J26" s="79"/>
      <c r="R26" s="175" t="str">
        <f>USD!R26</f>
        <v>Готовое</v>
      </c>
      <c r="S26" s="175" t="str">
        <f>USD!S26</f>
        <v>Стройка</v>
      </c>
      <c r="T26" s="175" t="str">
        <f>USD!T26</f>
        <v>Нецелевой</v>
      </c>
      <c r="U26" s="199" t="str">
        <f>USD!U26</f>
        <v>Рефинансирование</v>
      </c>
      <c r="V26" s="199"/>
      <c r="W26" s="199" t="str">
        <f>USD!W26</f>
        <v>Сотрудники</v>
      </c>
      <c r="X26" s="199"/>
      <c r="Y26" s="199" t="str">
        <f>USD!Y26</f>
        <v>УЖУ</v>
      </c>
      <c r="Z26" s="199"/>
      <c r="AA26" s="199"/>
    </row>
    <row r="27" spans="8:27" ht="12.75" hidden="1">
      <c r="H27" s="126">
        <f>H26+G6*0.9</f>
        <v>281137.4707178052</v>
      </c>
      <c r="I27" s="79"/>
      <c r="J27" s="79"/>
      <c r="R27" s="175"/>
      <c r="S27" s="175"/>
      <c r="T27" s="175"/>
      <c r="U27" s="175" t="str">
        <f>USD!U27</f>
        <v>Готовое</v>
      </c>
      <c r="V27" s="175" t="str">
        <f>USD!V27</f>
        <v>Нецелевой</v>
      </c>
      <c r="W27" s="175" t="str">
        <f>USD!W27</f>
        <v>Готовое</v>
      </c>
      <c r="X27" s="175" t="str">
        <f>USD!X27</f>
        <v>Стройка</v>
      </c>
      <c r="Y27" s="175" t="str">
        <f>USD!Y27</f>
        <v>Собств.</v>
      </c>
      <c r="Z27" s="175" t="str">
        <f>USD!Z27</f>
        <v>Собств.+Покуп.</v>
      </c>
      <c r="AA27" s="175" t="str">
        <f>USD!AA27</f>
        <v>Не продается</v>
      </c>
    </row>
    <row r="28" spans="8:27" ht="12.75" hidden="1">
      <c r="H28" s="179">
        <f>H27*$G$4/12</f>
        <v>2577.093481579881</v>
      </c>
      <c r="I28" s="79"/>
      <c r="J28" s="79"/>
      <c r="O28" s="191" t="str">
        <f>USD!O28</f>
        <v>Остальные регионы</v>
      </c>
      <c r="P28" s="88">
        <f>USD!P28</f>
        <v>100</v>
      </c>
      <c r="Q28" s="88">
        <f>USD!Q28</f>
        <v>85</v>
      </c>
      <c r="R28" s="89">
        <f>USD!R28</f>
        <v>0.85</v>
      </c>
      <c r="S28" s="89">
        <f>USD!S28</f>
        <v>0.85</v>
      </c>
      <c r="T28" s="89">
        <f>USD!T28</f>
        <v>0.7</v>
      </c>
      <c r="U28" s="89">
        <f>USD!U28</f>
        <v>0.85</v>
      </c>
      <c r="V28" s="89">
        <f>USD!V28</f>
        <v>0.7</v>
      </c>
      <c r="W28" s="89">
        <f>USD!W28</f>
        <v>0.85</v>
      </c>
      <c r="X28" s="89">
        <f>USD!X28</f>
        <v>0.95</v>
      </c>
      <c r="Y28" s="89">
        <f>USD!Y28</f>
        <v>1</v>
      </c>
      <c r="Z28" s="89">
        <f>USD!Z28</f>
        <v>0.9</v>
      </c>
      <c r="AA28" s="89">
        <f>USD!AA28</f>
        <v>0.85</v>
      </c>
    </row>
    <row r="29" spans="8:27" ht="33.75" hidden="1">
      <c r="H29" s="79"/>
      <c r="I29" s="79"/>
      <c r="J29" s="79">
        <f>IF(H18=0,0,IF(H18&lt;=USD!R123,MIN(H18*USD!T123-N6,H18*USD!S123),IF(H18&lt;=USD!R124,MIN(H18*USD!T124-N6,H18*USD!S124),IF(H18&lt;=USD!R125,MIN(H18*USD!T125-N6,H18*USD!S125),IF(H18&lt;=USD!R126,MIN(H18*USD!T126-N6,H18*USD!S126),IF(H18&lt;=USD!R127,MIN(H18*USD!T127-N6,H18*USD!S127),IF(H18&lt;=USD!R128,MIN(H18*USD!T128-N6,H18*USD!S128),MIN(H18*USD!T129-N6,H18*USD!S129))))))))</f>
        <v>2979.9</v>
      </c>
      <c r="O29" s="191" t="str">
        <f>USD!O29</f>
        <v>Архангельская область (не включая г. Архангельск)</v>
      </c>
      <c r="P29" s="88">
        <f>USD!P29</f>
        <v>100</v>
      </c>
      <c r="Q29" s="88">
        <f>USD!Q29</f>
        <v>85</v>
      </c>
      <c r="R29" s="89">
        <f>USD!R29</f>
        <v>0.85</v>
      </c>
      <c r="S29" s="89">
        <f>USD!S29</f>
        <v>0.85</v>
      </c>
      <c r="T29" s="89">
        <f>USD!T29</f>
        <v>0.7</v>
      </c>
      <c r="U29" s="89">
        <f>USD!U29</f>
        <v>0.85</v>
      </c>
      <c r="V29" s="89">
        <f>USD!V29</f>
        <v>0.7</v>
      </c>
      <c r="W29" s="89">
        <f>USD!W29</f>
        <v>0.85</v>
      </c>
      <c r="X29" s="89">
        <f>USD!X29</f>
        <v>0.95</v>
      </c>
      <c r="Y29" s="89">
        <f>USD!Y29</f>
        <v>1</v>
      </c>
      <c r="Z29" s="89">
        <f>USD!Z29</f>
        <v>0.9</v>
      </c>
      <c r="AA29" s="89">
        <f>USD!AA29</f>
        <v>0.85</v>
      </c>
    </row>
    <row r="30" spans="8:27" ht="12.75" hidden="1">
      <c r="H30" s="79"/>
      <c r="I30" s="79"/>
      <c r="J30" s="79">
        <f>IF(H18=0,0,IF(H18&lt;=USD!R123,MIN(H18*(USD!T123+USD!P131)-N6,H18*(USD!S123+USD!P131)),IF(H18&lt;=USD!R124,MIN(H18*(USD!T124+USD!P131)-N6,H18*(USD!S124+USD!P131)),IF(H18&lt;=USD!R125,MIN(H18*(USD!T125+USD!P131)-N6,H18*(USD!S125+USD!P131)),IF(H18&lt;=USD!R126,MIN(H18*(USD!T126+USD!P131)-N6,H18*(USD!S126+USD!P131)),IF(H18&lt;=USD!R127,MIN(H18*(USD!T127+USD!P131)-N6,H18*(USD!S127+USD!P131)),IF(H18&lt;=USD!R128,MIN(H18*(USD!T128+USD!P131)-N6,H18*(USD!S128+USD!P131)),MIN(H18*(USD!T129+USD!P131)-N6,H18*(USD!S129+USD!P131)))))))))</f>
        <v>3521.7000000000003</v>
      </c>
      <c r="O30" s="191" t="str">
        <f>USD!O30</f>
        <v>г. Архангельск</v>
      </c>
      <c r="P30" s="88">
        <f>USD!P30</f>
        <v>100</v>
      </c>
      <c r="Q30" s="88">
        <f>USD!Q30</f>
        <v>85</v>
      </c>
      <c r="R30" s="89">
        <f>USD!R30</f>
        <v>0.9</v>
      </c>
      <c r="S30" s="89">
        <f>USD!S30</f>
        <v>0.85</v>
      </c>
      <c r="T30" s="89">
        <f>USD!T30</f>
        <v>0.7</v>
      </c>
      <c r="U30" s="89">
        <f>USD!U30</f>
        <v>0.85</v>
      </c>
      <c r="V30" s="89">
        <f>USD!V30</f>
        <v>0.7</v>
      </c>
      <c r="W30" s="89">
        <f>USD!W30</f>
        <v>0.9</v>
      </c>
      <c r="X30" s="89">
        <f>USD!X30</f>
        <v>0.95</v>
      </c>
      <c r="Y30" s="89">
        <f>USD!Y30</f>
        <v>1</v>
      </c>
      <c r="Z30" s="89">
        <f>USD!Z30</f>
        <v>0.9</v>
      </c>
      <c r="AA30" s="89">
        <f>USD!AA30</f>
        <v>0.85</v>
      </c>
    </row>
    <row r="31" spans="8:27" ht="33.75" hidden="1">
      <c r="H31" s="79"/>
      <c r="I31" s="79"/>
      <c r="J31" s="79">
        <f>IF($G$5=$Q$3,H22*(($G$4/12)/(1-(1+($G$4/12))^-($C$4*12-$G$7))),H14)</f>
        <v>2979.8945766095535</v>
      </c>
      <c r="O31" s="191" t="str">
        <f>USD!O31</f>
        <v>Астраханская область (не включая г. Астрахань)</v>
      </c>
      <c r="P31" s="88">
        <f>USD!P31</f>
        <v>100</v>
      </c>
      <c r="Q31" s="88">
        <f>USD!Q31</f>
        <v>85</v>
      </c>
      <c r="R31" s="89">
        <f>USD!R31</f>
        <v>0.85</v>
      </c>
      <c r="S31" s="89">
        <f>USD!S31</f>
        <v>0.85</v>
      </c>
      <c r="T31" s="89">
        <f>USD!T31</f>
        <v>0.7</v>
      </c>
      <c r="U31" s="89">
        <f>USD!U31</f>
        <v>0.85</v>
      </c>
      <c r="V31" s="89">
        <f>USD!V31</f>
        <v>0.7</v>
      </c>
      <c r="W31" s="89">
        <f>USD!W31</f>
        <v>0.85</v>
      </c>
      <c r="X31" s="89">
        <f>USD!X31</f>
        <v>0.95</v>
      </c>
      <c r="Y31" s="89">
        <f>USD!Y31</f>
        <v>1</v>
      </c>
      <c r="Z31" s="89">
        <f>USD!Z31</f>
        <v>0.9</v>
      </c>
      <c r="AA31" s="89">
        <f>USD!AA31</f>
        <v>0.85</v>
      </c>
    </row>
    <row r="32" spans="15:27" ht="12.75">
      <c r="O32" s="191" t="str">
        <f>USD!O32</f>
        <v>г. Астрахань</v>
      </c>
      <c r="P32" s="88">
        <f>USD!P32</f>
        <v>100</v>
      </c>
      <c r="Q32" s="88">
        <f>USD!Q32</f>
        <v>85</v>
      </c>
      <c r="R32" s="89">
        <f>USD!R32</f>
        <v>0.9</v>
      </c>
      <c r="S32" s="89">
        <f>USD!S32</f>
        <v>0.85</v>
      </c>
      <c r="T32" s="89">
        <f>USD!T32</f>
        <v>0.7</v>
      </c>
      <c r="U32" s="89">
        <f>USD!U32</f>
        <v>0.85</v>
      </c>
      <c r="V32" s="89">
        <f>USD!V32</f>
        <v>0.7</v>
      </c>
      <c r="W32" s="89">
        <f>USD!W32</f>
        <v>0.9</v>
      </c>
      <c r="X32" s="89">
        <f>USD!X32</f>
        <v>0.95</v>
      </c>
      <c r="Y32" s="89">
        <f>USD!Y32</f>
        <v>1</v>
      </c>
      <c r="Z32" s="89">
        <f>USD!Z32</f>
        <v>0.9</v>
      </c>
      <c r="AA32" s="89">
        <f>USD!AA32</f>
        <v>0.85</v>
      </c>
    </row>
    <row r="33" spans="15:27" ht="22.5">
      <c r="O33" s="191" t="str">
        <f>USD!O33</f>
        <v>Алтайский край (не включая г. Барнаул)</v>
      </c>
      <c r="P33" s="88">
        <f>USD!P33</f>
        <v>100</v>
      </c>
      <c r="Q33" s="88">
        <f>USD!Q33</f>
        <v>85</v>
      </c>
      <c r="R33" s="89">
        <f>USD!R33</f>
        <v>0.85</v>
      </c>
      <c r="S33" s="89">
        <f>USD!S33</f>
        <v>0.85</v>
      </c>
      <c r="T33" s="89">
        <f>USD!T33</f>
        <v>0.7</v>
      </c>
      <c r="U33" s="89">
        <f>USD!U33</f>
        <v>0.85</v>
      </c>
      <c r="V33" s="89">
        <f>USD!V33</f>
        <v>0.7</v>
      </c>
      <c r="W33" s="89">
        <f>USD!W33</f>
        <v>0.85</v>
      </c>
      <c r="X33" s="89">
        <f>USD!X33</f>
        <v>0.95</v>
      </c>
      <c r="Y33" s="89">
        <f>USD!Y33</f>
        <v>1</v>
      </c>
      <c r="Z33" s="89">
        <f>USD!Z33</f>
        <v>0.9</v>
      </c>
      <c r="AA33" s="89">
        <f>USD!AA33</f>
        <v>0.85</v>
      </c>
    </row>
    <row r="34" spans="15:27" ht="12.75">
      <c r="O34" s="191" t="str">
        <f>USD!O34</f>
        <v>г. Барнаул</v>
      </c>
      <c r="P34" s="88">
        <f>USD!P34</f>
        <v>100</v>
      </c>
      <c r="Q34" s="88">
        <f>USD!Q34</f>
        <v>85</v>
      </c>
      <c r="R34" s="89">
        <f>USD!R34</f>
        <v>0.9</v>
      </c>
      <c r="S34" s="89">
        <f>USD!S34</f>
        <v>0.85</v>
      </c>
      <c r="T34" s="89">
        <f>USD!T34</f>
        <v>0.7</v>
      </c>
      <c r="U34" s="89">
        <f>USD!U34</f>
        <v>0.85</v>
      </c>
      <c r="V34" s="89">
        <f>USD!V34</f>
        <v>0.7</v>
      </c>
      <c r="W34" s="89">
        <f>USD!W34</f>
        <v>0.9</v>
      </c>
      <c r="X34" s="89">
        <f>USD!X34</f>
        <v>0.95</v>
      </c>
      <c r="Y34" s="89">
        <f>USD!Y34</f>
        <v>1</v>
      </c>
      <c r="Z34" s="89">
        <f>USD!Z34</f>
        <v>0.9</v>
      </c>
      <c r="AA34" s="89">
        <f>USD!AA34</f>
        <v>0.85</v>
      </c>
    </row>
    <row r="35" spans="15:27" ht="22.5">
      <c r="O35" s="191" t="str">
        <f>USD!O35</f>
        <v>Белгородская область (не включая г. Белгород)</v>
      </c>
      <c r="P35" s="88">
        <f>USD!P35</f>
        <v>100</v>
      </c>
      <c r="Q35" s="88">
        <f>USD!Q35</f>
        <v>85</v>
      </c>
      <c r="R35" s="89">
        <f>USD!R35</f>
        <v>0.85</v>
      </c>
      <c r="S35" s="89">
        <f>USD!S35</f>
        <v>0.85</v>
      </c>
      <c r="T35" s="89">
        <f>USD!T35</f>
        <v>0.7</v>
      </c>
      <c r="U35" s="89">
        <f>USD!U35</f>
        <v>0.85</v>
      </c>
      <c r="V35" s="89">
        <f>USD!V35</f>
        <v>0.7</v>
      </c>
      <c r="W35" s="89">
        <f>USD!W35</f>
        <v>0.85</v>
      </c>
      <c r="X35" s="89">
        <f>USD!X35</f>
        <v>0.95</v>
      </c>
      <c r="Y35" s="89">
        <f>USD!Y35</f>
        <v>1</v>
      </c>
      <c r="Z35" s="89">
        <f>USD!Z35</f>
        <v>0.9</v>
      </c>
      <c r="AA35" s="89">
        <f>USD!AA35</f>
        <v>0.85</v>
      </c>
    </row>
    <row r="36" spans="15:27" ht="12.75">
      <c r="O36" s="191" t="str">
        <f>USD!O36</f>
        <v>г. Белгород</v>
      </c>
      <c r="P36" s="88">
        <f>USD!P36</f>
        <v>100</v>
      </c>
      <c r="Q36" s="88">
        <f>USD!Q36</f>
        <v>85</v>
      </c>
      <c r="R36" s="89">
        <f>USD!R36</f>
        <v>0.9</v>
      </c>
      <c r="S36" s="89">
        <f>USD!S36</f>
        <v>0.85</v>
      </c>
      <c r="T36" s="89">
        <f>USD!T36</f>
        <v>0.7</v>
      </c>
      <c r="U36" s="89">
        <f>USD!U36</f>
        <v>0.85</v>
      </c>
      <c r="V36" s="89">
        <f>USD!V36</f>
        <v>0.7</v>
      </c>
      <c r="W36" s="89">
        <f>USD!W36</f>
        <v>0.9</v>
      </c>
      <c r="X36" s="89">
        <f>USD!X36</f>
        <v>0.95</v>
      </c>
      <c r="Y36" s="89">
        <f>USD!Y36</f>
        <v>1</v>
      </c>
      <c r="Z36" s="89">
        <f>USD!Z36</f>
        <v>0.9</v>
      </c>
      <c r="AA36" s="89">
        <f>USD!AA36</f>
        <v>0.85</v>
      </c>
    </row>
    <row r="37" spans="15:27" ht="22.5">
      <c r="O37" s="191" t="str">
        <f>USD!O37</f>
        <v>Владимирская область (не включая г. Владимир)</v>
      </c>
      <c r="P37" s="88">
        <f>USD!P37</f>
        <v>100</v>
      </c>
      <c r="Q37" s="88">
        <f>USD!Q37</f>
        <v>85</v>
      </c>
      <c r="R37" s="89">
        <f>USD!R37</f>
        <v>0.85</v>
      </c>
      <c r="S37" s="89">
        <f>USD!S37</f>
        <v>0.85</v>
      </c>
      <c r="T37" s="89">
        <f>USD!T37</f>
        <v>0.7</v>
      </c>
      <c r="U37" s="89">
        <f>USD!U37</f>
        <v>0.85</v>
      </c>
      <c r="V37" s="89">
        <f>USD!V37</f>
        <v>0.7</v>
      </c>
      <c r="W37" s="89">
        <f>USD!W37</f>
        <v>0.85</v>
      </c>
      <c r="X37" s="89">
        <f>USD!X37</f>
        <v>0.95</v>
      </c>
      <c r="Y37" s="89">
        <f>USD!Y37</f>
        <v>1</v>
      </c>
      <c r="Z37" s="89">
        <f>USD!Z37</f>
        <v>0.9</v>
      </c>
      <c r="AA37" s="89">
        <f>USD!AA37</f>
        <v>0.85</v>
      </c>
    </row>
    <row r="38" spans="15:27" ht="12.75">
      <c r="O38" s="191" t="str">
        <f>USD!O38</f>
        <v>г. Владимир</v>
      </c>
      <c r="P38" s="88">
        <f>USD!P38</f>
        <v>100</v>
      </c>
      <c r="Q38" s="88">
        <f>USD!Q38</f>
        <v>85</v>
      </c>
      <c r="R38" s="89">
        <f>USD!R38</f>
        <v>0.9</v>
      </c>
      <c r="S38" s="89">
        <f>USD!S38</f>
        <v>0.85</v>
      </c>
      <c r="T38" s="89">
        <f>USD!T38</f>
        <v>0.7</v>
      </c>
      <c r="U38" s="89">
        <f>USD!U38</f>
        <v>0.85</v>
      </c>
      <c r="V38" s="89">
        <f>USD!V38</f>
        <v>0.7</v>
      </c>
      <c r="W38" s="89">
        <f>USD!W38</f>
        <v>0.9</v>
      </c>
      <c r="X38" s="89">
        <f>USD!X38</f>
        <v>0.95</v>
      </c>
      <c r="Y38" s="89">
        <f>USD!Y38</f>
        <v>1</v>
      </c>
      <c r="Z38" s="89">
        <f>USD!Z38</f>
        <v>0.9</v>
      </c>
      <c r="AA38" s="89">
        <f>USD!AA38</f>
        <v>0.85</v>
      </c>
    </row>
    <row r="39" spans="15:27" ht="22.5">
      <c r="O39" s="191" t="str">
        <f>USD!O39</f>
        <v>Волгоградская область (не включая г. Волгоград)</v>
      </c>
      <c r="P39" s="88">
        <f>USD!P39</f>
        <v>100</v>
      </c>
      <c r="Q39" s="88">
        <f>USD!Q39</f>
        <v>85</v>
      </c>
      <c r="R39" s="89">
        <f>USD!R39</f>
        <v>0.85</v>
      </c>
      <c r="S39" s="89">
        <f>USD!S39</f>
        <v>0.85</v>
      </c>
      <c r="T39" s="89">
        <f>USD!T39</f>
        <v>0.7</v>
      </c>
      <c r="U39" s="89">
        <f>USD!U39</f>
        <v>0.85</v>
      </c>
      <c r="V39" s="89">
        <f>USD!V39</f>
        <v>0.7</v>
      </c>
      <c r="W39" s="89">
        <f>USD!W39</f>
        <v>0.85</v>
      </c>
      <c r="X39" s="89">
        <f>USD!X39</f>
        <v>0.95</v>
      </c>
      <c r="Y39" s="89">
        <f>USD!Y39</f>
        <v>1</v>
      </c>
      <c r="Z39" s="89">
        <f>USD!Z39</f>
        <v>0.9</v>
      </c>
      <c r="AA39" s="89">
        <f>USD!AA39</f>
        <v>0.85</v>
      </c>
    </row>
    <row r="40" spans="15:27" ht="12.75">
      <c r="O40" s="191" t="str">
        <f>USD!O40</f>
        <v>г. Волгоград</v>
      </c>
      <c r="P40" s="88">
        <f>USD!P40</f>
        <v>100</v>
      </c>
      <c r="Q40" s="88">
        <f>USD!Q40</f>
        <v>85</v>
      </c>
      <c r="R40" s="89">
        <f>USD!R40</f>
        <v>0.9</v>
      </c>
      <c r="S40" s="89">
        <f>USD!S40</f>
        <v>0.85</v>
      </c>
      <c r="T40" s="89">
        <f>USD!T40</f>
        <v>0.7</v>
      </c>
      <c r="U40" s="89">
        <f>USD!U40</f>
        <v>0.85</v>
      </c>
      <c r="V40" s="89">
        <f>USD!V40</f>
        <v>0.7</v>
      </c>
      <c r="W40" s="89">
        <f>USD!W40</f>
        <v>0.9</v>
      </c>
      <c r="X40" s="89">
        <f>USD!X40</f>
        <v>0.95</v>
      </c>
      <c r="Y40" s="89">
        <f>USD!Y40</f>
        <v>1</v>
      </c>
      <c r="Z40" s="89">
        <f>USD!Z40</f>
        <v>0.9</v>
      </c>
      <c r="AA40" s="89">
        <f>USD!AA40</f>
        <v>0.85</v>
      </c>
    </row>
    <row r="41" spans="15:27" ht="12.75">
      <c r="O41" s="191" t="str">
        <f>USD!O41</f>
        <v>г. Вологда</v>
      </c>
      <c r="P41" s="88">
        <f>USD!P41</f>
        <v>120</v>
      </c>
      <c r="Q41" s="88">
        <f>USD!Q41</f>
        <v>100</v>
      </c>
      <c r="R41" s="89">
        <f>USD!R41</f>
        <v>0.9</v>
      </c>
      <c r="S41" s="89">
        <f>USD!S41</f>
        <v>0.85</v>
      </c>
      <c r="T41" s="89">
        <f>USD!T41</f>
        <v>0.7</v>
      </c>
      <c r="U41" s="89">
        <f>USD!U41</f>
        <v>0.85</v>
      </c>
      <c r="V41" s="89">
        <f>USD!V41</f>
        <v>0.7</v>
      </c>
      <c r="W41" s="89">
        <f>USD!W41</f>
        <v>0.9</v>
      </c>
      <c r="X41" s="89">
        <f>USD!X41</f>
        <v>0.95</v>
      </c>
      <c r="Y41" s="89">
        <f>USD!Y41</f>
        <v>1</v>
      </c>
      <c r="Z41" s="89">
        <f>USD!Z41</f>
        <v>0.9</v>
      </c>
      <c r="AA41" s="89">
        <f>USD!AA41</f>
        <v>0.85</v>
      </c>
    </row>
    <row r="42" spans="15:27" ht="22.5">
      <c r="O42" s="191" t="str">
        <f>USD!O42</f>
        <v>Воронежская область (включая г. Воронеж)</v>
      </c>
      <c r="P42" s="88">
        <f>USD!P42</f>
        <v>100</v>
      </c>
      <c r="Q42" s="88">
        <f>USD!Q42</f>
        <v>85</v>
      </c>
      <c r="R42" s="89">
        <f>USD!R42</f>
        <v>0.85</v>
      </c>
      <c r="S42" s="89">
        <f>USD!S42</f>
        <v>0.85</v>
      </c>
      <c r="T42" s="89">
        <f>USD!T42</f>
        <v>0.7</v>
      </c>
      <c r="U42" s="89">
        <f>USD!U42</f>
        <v>0.85</v>
      </c>
      <c r="V42" s="89">
        <f>USD!V42</f>
        <v>0.7</v>
      </c>
      <c r="W42" s="89">
        <f>USD!W42</f>
        <v>0.85</v>
      </c>
      <c r="X42" s="89">
        <f>USD!X42</f>
        <v>0.95</v>
      </c>
      <c r="Y42" s="89">
        <f>USD!Y42</f>
        <v>1</v>
      </c>
      <c r="Z42" s="89">
        <f>USD!Z42</f>
        <v>0.9</v>
      </c>
      <c r="AA42" s="89">
        <f>USD!AA42</f>
        <v>0.85</v>
      </c>
    </row>
    <row r="43" spans="15:27" ht="33.75">
      <c r="O43" s="191" t="str">
        <f>USD!O43</f>
        <v>Иркутская область (не включая г. Иркутск и г. Ангарск)</v>
      </c>
      <c r="P43" s="88">
        <f>USD!P43</f>
        <v>120</v>
      </c>
      <c r="Q43" s="88">
        <f>USD!Q43</f>
        <v>100</v>
      </c>
      <c r="R43" s="89">
        <f>USD!R43</f>
        <v>0.85</v>
      </c>
      <c r="S43" s="89">
        <f>USD!S43</f>
        <v>0.85</v>
      </c>
      <c r="T43" s="89">
        <f>USD!T43</f>
        <v>0.7</v>
      </c>
      <c r="U43" s="89">
        <f>USD!U43</f>
        <v>0.85</v>
      </c>
      <c r="V43" s="89">
        <f>USD!V43</f>
        <v>0.7</v>
      </c>
      <c r="W43" s="89">
        <f>USD!W43</f>
        <v>0.85</v>
      </c>
      <c r="X43" s="89">
        <f>USD!X43</f>
        <v>0.95</v>
      </c>
      <c r="Y43" s="89">
        <f>USD!Y43</f>
        <v>1</v>
      </c>
      <c r="Z43" s="89">
        <f>USD!Z43</f>
        <v>0.9</v>
      </c>
      <c r="AA43" s="89">
        <f>USD!AA43</f>
        <v>0.85</v>
      </c>
    </row>
    <row r="44" spans="15:27" ht="12.75">
      <c r="O44" s="191" t="str">
        <f>USD!O44</f>
        <v>г. Иркутск</v>
      </c>
      <c r="P44" s="88">
        <f>USD!P44</f>
        <v>120</v>
      </c>
      <c r="Q44" s="88">
        <f>USD!Q44</f>
        <v>100</v>
      </c>
      <c r="R44" s="89">
        <f>USD!R44</f>
        <v>0.9</v>
      </c>
      <c r="S44" s="89">
        <f>USD!S44</f>
        <v>0.85</v>
      </c>
      <c r="T44" s="89">
        <f>USD!T44</f>
        <v>0.7</v>
      </c>
      <c r="U44" s="89">
        <f>USD!U44</f>
        <v>0.85</v>
      </c>
      <c r="V44" s="89">
        <f>USD!V44</f>
        <v>0.7</v>
      </c>
      <c r="W44" s="89">
        <f>USD!W44</f>
        <v>0.9</v>
      </c>
      <c r="X44" s="89">
        <f>USD!X44</f>
        <v>0.95</v>
      </c>
      <c r="Y44" s="89">
        <f>USD!Y44</f>
        <v>1</v>
      </c>
      <c r="Z44" s="89">
        <f>USD!Z44</f>
        <v>0.9</v>
      </c>
      <c r="AA44" s="89">
        <f>USD!AA44</f>
        <v>0.85</v>
      </c>
    </row>
    <row r="45" spans="15:27" ht="12.75">
      <c r="O45" s="191" t="str">
        <f>USD!O45</f>
        <v>г. Ангарск</v>
      </c>
      <c r="P45" s="88">
        <f>USD!P45</f>
        <v>120</v>
      </c>
      <c r="Q45" s="88">
        <f>USD!Q45</f>
        <v>100</v>
      </c>
      <c r="R45" s="89">
        <f>USD!R45</f>
        <v>0.9</v>
      </c>
      <c r="S45" s="89">
        <f>USD!S45</f>
        <v>0.85</v>
      </c>
      <c r="T45" s="89">
        <f>USD!T45</f>
        <v>0.7</v>
      </c>
      <c r="U45" s="89">
        <f>USD!U45</f>
        <v>0.85</v>
      </c>
      <c r="V45" s="89">
        <f>USD!V45</f>
        <v>0.7</v>
      </c>
      <c r="W45" s="89">
        <f>USD!W45</f>
        <v>0.9</v>
      </c>
      <c r="X45" s="89">
        <f>USD!X45</f>
        <v>0.95</v>
      </c>
      <c r="Y45" s="89">
        <f>USD!Y45</f>
        <v>1</v>
      </c>
      <c r="Z45" s="89">
        <f>USD!Z45</f>
        <v>0.9</v>
      </c>
      <c r="AA45" s="89">
        <f>USD!AA45</f>
        <v>0.85</v>
      </c>
    </row>
    <row r="46" spans="15:27" ht="33.75">
      <c r="O46" s="191" t="str">
        <f>USD!O46</f>
        <v>Калининградская область (не включая г. Калининград)</v>
      </c>
      <c r="P46" s="88">
        <f>USD!P46</f>
        <v>100</v>
      </c>
      <c r="Q46" s="88">
        <f>USD!Q46</f>
        <v>85</v>
      </c>
      <c r="R46" s="89">
        <f>USD!R46</f>
        <v>0.85</v>
      </c>
      <c r="S46" s="89">
        <f>USD!S46</f>
        <v>0.85</v>
      </c>
      <c r="T46" s="89">
        <f>USD!T46</f>
        <v>0.7</v>
      </c>
      <c r="U46" s="89">
        <f>USD!U46</f>
        <v>0.85</v>
      </c>
      <c r="V46" s="89">
        <f>USD!V46</f>
        <v>0.7</v>
      </c>
      <c r="W46" s="89">
        <f>USD!W46</f>
        <v>0.85</v>
      </c>
      <c r="X46" s="89">
        <f>USD!X46</f>
        <v>0.95</v>
      </c>
      <c r="Y46" s="89">
        <f>USD!Y46</f>
        <v>1</v>
      </c>
      <c r="Z46" s="89">
        <f>USD!Z46</f>
        <v>0.9</v>
      </c>
      <c r="AA46" s="89">
        <f>USD!AA46</f>
        <v>0.85</v>
      </c>
    </row>
    <row r="47" spans="15:27" ht="12.75">
      <c r="O47" s="191" t="str">
        <f>USD!O47</f>
        <v>г. Калининград</v>
      </c>
      <c r="P47" s="88">
        <f>USD!P47</f>
        <v>100</v>
      </c>
      <c r="Q47" s="88">
        <f>USD!Q47</f>
        <v>85</v>
      </c>
      <c r="R47" s="89">
        <f>USD!R47</f>
        <v>0.9</v>
      </c>
      <c r="S47" s="89">
        <f>USD!S47</f>
        <v>0.85</v>
      </c>
      <c r="T47" s="89">
        <f>USD!T47</f>
        <v>0.7</v>
      </c>
      <c r="U47" s="89">
        <f>USD!U47</f>
        <v>0.85</v>
      </c>
      <c r="V47" s="89">
        <f>USD!V47</f>
        <v>0.7</v>
      </c>
      <c r="W47" s="89">
        <f>USD!W47</f>
        <v>0.9</v>
      </c>
      <c r="X47" s="89">
        <f>USD!X47</f>
        <v>0.95</v>
      </c>
      <c r="Y47" s="89">
        <f>USD!Y47</f>
        <v>1</v>
      </c>
      <c r="Z47" s="89">
        <f>USD!Z47</f>
        <v>0.9</v>
      </c>
      <c r="AA47" s="89">
        <f>USD!AA47</f>
        <v>0.85</v>
      </c>
    </row>
    <row r="48" spans="15:27" ht="22.5">
      <c r="O48" s="191" t="str">
        <f>USD!O48</f>
        <v>Кемеровская область (не включая г. Кемерово)</v>
      </c>
      <c r="P48" s="88">
        <f>USD!P48</f>
        <v>100</v>
      </c>
      <c r="Q48" s="88">
        <f>USD!Q48</f>
        <v>85</v>
      </c>
      <c r="R48" s="89">
        <f>USD!R48</f>
        <v>0.85</v>
      </c>
      <c r="S48" s="89">
        <f>USD!S48</f>
        <v>0.85</v>
      </c>
      <c r="T48" s="89">
        <f>USD!T48</f>
        <v>0.7</v>
      </c>
      <c r="U48" s="89">
        <f>USD!U48</f>
        <v>0.85</v>
      </c>
      <c r="V48" s="89">
        <f>USD!V48</f>
        <v>0.7</v>
      </c>
      <c r="W48" s="89">
        <f>USD!W48</f>
        <v>0.85</v>
      </c>
      <c r="X48" s="89">
        <f>USD!X48</f>
        <v>0.95</v>
      </c>
      <c r="Y48" s="89">
        <f>USD!Y48</f>
        <v>1</v>
      </c>
      <c r="Z48" s="89">
        <f>USD!Z48</f>
        <v>0.9</v>
      </c>
      <c r="AA48" s="89">
        <f>USD!AA48</f>
        <v>0.85</v>
      </c>
    </row>
    <row r="49" spans="15:27" ht="12.75">
      <c r="O49" s="191" t="str">
        <f>USD!O49</f>
        <v>г. Кемерово</v>
      </c>
      <c r="P49" s="88">
        <f>USD!P49</f>
        <v>100</v>
      </c>
      <c r="Q49" s="88">
        <f>USD!Q49</f>
        <v>85</v>
      </c>
      <c r="R49" s="89">
        <f>USD!R49</f>
        <v>0.9</v>
      </c>
      <c r="S49" s="89">
        <f>USD!S49</f>
        <v>0.85</v>
      </c>
      <c r="T49" s="89">
        <f>USD!T49</f>
        <v>0.7</v>
      </c>
      <c r="U49" s="89">
        <f>USD!U49</f>
        <v>0.85</v>
      </c>
      <c r="V49" s="89">
        <f>USD!V49</f>
        <v>0.7</v>
      </c>
      <c r="W49" s="89">
        <f>USD!W49</f>
        <v>0.9</v>
      </c>
      <c r="X49" s="89">
        <f>USD!X49</f>
        <v>0.95</v>
      </c>
      <c r="Y49" s="89">
        <f>USD!Y49</f>
        <v>1</v>
      </c>
      <c r="Z49" s="89">
        <f>USD!Z49</f>
        <v>0.9</v>
      </c>
      <c r="AA49" s="89">
        <f>USD!AA49</f>
        <v>0.85</v>
      </c>
    </row>
    <row r="50" spans="15:27" ht="22.5">
      <c r="O50" s="191" t="str">
        <f>USD!O50</f>
        <v>Костромская область (не включая г. Кострома)</v>
      </c>
      <c r="P50" s="88">
        <f>USD!P50</f>
        <v>100</v>
      </c>
      <c r="Q50" s="88">
        <f>USD!Q50</f>
        <v>85</v>
      </c>
      <c r="R50" s="89">
        <f>USD!R50</f>
        <v>0.85</v>
      </c>
      <c r="S50" s="89">
        <f>USD!S50</f>
        <v>0.85</v>
      </c>
      <c r="T50" s="89">
        <f>USD!T50</f>
        <v>0.7</v>
      </c>
      <c r="U50" s="89">
        <f>USD!U50</f>
        <v>0.85</v>
      </c>
      <c r="V50" s="89">
        <f>USD!V50</f>
        <v>0.7</v>
      </c>
      <c r="W50" s="89">
        <f>USD!W50</f>
        <v>0.85</v>
      </c>
      <c r="X50" s="89">
        <f>USD!X50</f>
        <v>0.95</v>
      </c>
      <c r="Y50" s="89">
        <f>USD!Y50</f>
        <v>1</v>
      </c>
      <c r="Z50" s="89">
        <f>USD!Z50</f>
        <v>0.9</v>
      </c>
      <c r="AA50" s="89">
        <f>USD!AA50</f>
        <v>0.85</v>
      </c>
    </row>
    <row r="51" spans="15:27" ht="12.75">
      <c r="O51" s="191" t="str">
        <f>USD!O51</f>
        <v>г. Кострома</v>
      </c>
      <c r="P51" s="88">
        <f>USD!P51</f>
        <v>100</v>
      </c>
      <c r="Q51" s="88">
        <f>USD!Q51</f>
        <v>85</v>
      </c>
      <c r="R51" s="89">
        <f>USD!R51</f>
        <v>0.9</v>
      </c>
      <c r="S51" s="89">
        <f>USD!S51</f>
        <v>0.85</v>
      </c>
      <c r="T51" s="89">
        <f>USD!T51</f>
        <v>0.7</v>
      </c>
      <c r="U51" s="89">
        <f>USD!U51</f>
        <v>0.85</v>
      </c>
      <c r="V51" s="89">
        <f>USD!V51</f>
        <v>0.7</v>
      </c>
      <c r="W51" s="89">
        <f>USD!W51</f>
        <v>0.9</v>
      </c>
      <c r="X51" s="89">
        <f>USD!X51</f>
        <v>0.95</v>
      </c>
      <c r="Y51" s="89">
        <f>USD!Y51</f>
        <v>1</v>
      </c>
      <c r="Z51" s="89">
        <f>USD!Z51</f>
        <v>0.9</v>
      </c>
      <c r="AA51" s="89">
        <f>USD!AA51</f>
        <v>0.85</v>
      </c>
    </row>
    <row r="52" spans="15:27" ht="33.75">
      <c r="O52" s="191" t="str">
        <f>USD!O52</f>
        <v>Краснодарский край (не включая г. Краснодар и г. Сочи)</v>
      </c>
      <c r="P52" s="88">
        <f>USD!P52</f>
        <v>100</v>
      </c>
      <c r="Q52" s="88">
        <f>USD!Q52</f>
        <v>85</v>
      </c>
      <c r="R52" s="89">
        <f>USD!R52</f>
        <v>0.85</v>
      </c>
      <c r="S52" s="89">
        <f>USD!S52</f>
        <v>0.85</v>
      </c>
      <c r="T52" s="89">
        <f>USD!T52</f>
        <v>0.7</v>
      </c>
      <c r="U52" s="89">
        <f>USD!U52</f>
        <v>0.85</v>
      </c>
      <c r="V52" s="89">
        <f>USD!V52</f>
        <v>0.7</v>
      </c>
      <c r="W52" s="89">
        <f>USD!W52</f>
        <v>0.85</v>
      </c>
      <c r="X52" s="89">
        <f>USD!X52</f>
        <v>0.95</v>
      </c>
      <c r="Y52" s="89">
        <f>USD!Y52</f>
        <v>1</v>
      </c>
      <c r="Z52" s="89">
        <f>USD!Z52</f>
        <v>0.9</v>
      </c>
      <c r="AA52" s="89">
        <f>USD!AA52</f>
        <v>0.85</v>
      </c>
    </row>
    <row r="53" spans="15:27" ht="12.75">
      <c r="O53" s="191" t="str">
        <f>USD!O53</f>
        <v>г. Краснодар</v>
      </c>
      <c r="P53" s="88">
        <f>USD!P53</f>
        <v>100</v>
      </c>
      <c r="Q53" s="88">
        <f>USD!Q53</f>
        <v>85</v>
      </c>
      <c r="R53" s="89">
        <f>USD!R53</f>
        <v>0.9</v>
      </c>
      <c r="S53" s="89">
        <f>USD!S53</f>
        <v>0.85</v>
      </c>
      <c r="T53" s="89">
        <f>USD!T53</f>
        <v>0.7</v>
      </c>
      <c r="U53" s="89">
        <f>USD!U53</f>
        <v>0.85</v>
      </c>
      <c r="V53" s="89">
        <f>USD!V53</f>
        <v>0.7</v>
      </c>
      <c r="W53" s="89">
        <f>USD!W53</f>
        <v>0.9</v>
      </c>
      <c r="X53" s="89">
        <f>USD!X53</f>
        <v>0.95</v>
      </c>
      <c r="Y53" s="89">
        <f>USD!Y53</f>
        <v>1</v>
      </c>
      <c r="Z53" s="89">
        <f>USD!Z53</f>
        <v>0.9</v>
      </c>
      <c r="AA53" s="89">
        <f>USD!AA53</f>
        <v>0.85</v>
      </c>
    </row>
    <row r="54" spans="15:27" ht="12.75">
      <c r="O54" s="191" t="str">
        <f>USD!O54</f>
        <v>г. Сочи</v>
      </c>
      <c r="P54" s="88">
        <f>USD!P54</f>
        <v>100</v>
      </c>
      <c r="Q54" s="88">
        <f>USD!Q54</f>
        <v>85</v>
      </c>
      <c r="R54" s="89">
        <f>USD!R54</f>
        <v>0.9</v>
      </c>
      <c r="S54" s="89">
        <f>USD!S54</f>
        <v>0.85</v>
      </c>
      <c r="T54" s="89">
        <f>USD!T54</f>
        <v>0.7</v>
      </c>
      <c r="U54" s="89">
        <f>USD!U54</f>
        <v>0.85</v>
      </c>
      <c r="V54" s="89">
        <f>USD!V54</f>
        <v>0.7</v>
      </c>
      <c r="W54" s="89">
        <f>USD!W54</f>
        <v>0.9</v>
      </c>
      <c r="X54" s="89">
        <f>USD!X54</f>
        <v>0.95</v>
      </c>
      <c r="Y54" s="89">
        <f>USD!Y54</f>
        <v>1</v>
      </c>
      <c r="Z54" s="89">
        <f>USD!Z54</f>
        <v>0.9</v>
      </c>
      <c r="AA54" s="89">
        <f>USD!AA54</f>
        <v>0.85</v>
      </c>
    </row>
    <row r="55" spans="15:27" ht="22.5">
      <c r="O55" s="191" t="str">
        <f>USD!O55</f>
        <v>Красноярский край (не включая г. Красноярск)</v>
      </c>
      <c r="P55" s="88">
        <f>USD!P55</f>
        <v>100</v>
      </c>
      <c r="Q55" s="88">
        <f>USD!Q55</f>
        <v>85</v>
      </c>
      <c r="R55" s="89">
        <f>USD!R55</f>
        <v>0.85</v>
      </c>
      <c r="S55" s="89">
        <f>USD!S55</f>
        <v>0.85</v>
      </c>
      <c r="T55" s="89">
        <f>USD!T55</f>
        <v>0.7</v>
      </c>
      <c r="U55" s="89">
        <f>USD!U55</f>
        <v>0.85</v>
      </c>
      <c r="V55" s="89">
        <f>USD!V55</f>
        <v>0.7</v>
      </c>
      <c r="W55" s="89">
        <f>USD!W55</f>
        <v>0.85</v>
      </c>
      <c r="X55" s="89">
        <f>USD!X55</f>
        <v>0.95</v>
      </c>
      <c r="Y55" s="89">
        <f>USD!Y55</f>
        <v>1</v>
      </c>
      <c r="Z55" s="89">
        <f>USD!Z55</f>
        <v>0.9</v>
      </c>
      <c r="AA55" s="89">
        <f>USD!AA55</f>
        <v>0.85</v>
      </c>
    </row>
    <row r="56" spans="15:27" ht="12.75">
      <c r="O56" s="191" t="str">
        <f>USD!O56</f>
        <v>г. Красноярск</v>
      </c>
      <c r="P56" s="88">
        <f>USD!P56</f>
        <v>100</v>
      </c>
      <c r="Q56" s="88">
        <f>USD!Q56</f>
        <v>85</v>
      </c>
      <c r="R56" s="89">
        <f>USD!R56</f>
        <v>1</v>
      </c>
      <c r="S56" s="89">
        <f>USD!S56</f>
        <v>0.95</v>
      </c>
      <c r="T56" s="89">
        <f>USD!T56</f>
        <v>0.9</v>
      </c>
      <c r="U56" s="89">
        <f>USD!U56</f>
        <v>0.95</v>
      </c>
      <c r="V56" s="89">
        <f>USD!V56</f>
        <v>0.95</v>
      </c>
      <c r="W56" s="89">
        <f>USD!W56</f>
        <v>1</v>
      </c>
      <c r="X56" s="89">
        <f>USD!X56</f>
        <v>0.95</v>
      </c>
      <c r="Y56" s="89">
        <f>USD!Y56</f>
        <v>1</v>
      </c>
      <c r="Z56" s="89">
        <f>USD!Z56</f>
        <v>0.9</v>
      </c>
      <c r="AA56" s="89">
        <f>USD!AA56</f>
        <v>0.85</v>
      </c>
    </row>
    <row r="57" spans="15:27" ht="22.5">
      <c r="O57" s="191" t="str">
        <f>USD!O57</f>
        <v>Курская область (не включая г. Курск)</v>
      </c>
      <c r="P57" s="88">
        <f>USD!P57</f>
        <v>100</v>
      </c>
      <c r="Q57" s="88">
        <f>USD!Q57</f>
        <v>85</v>
      </c>
      <c r="R57" s="89">
        <f>USD!R57</f>
        <v>0.85</v>
      </c>
      <c r="S57" s="89">
        <f>USD!S57</f>
        <v>0.85</v>
      </c>
      <c r="T57" s="89">
        <f>USD!T57</f>
        <v>0.7</v>
      </c>
      <c r="U57" s="89">
        <f>USD!U57</f>
        <v>0.85</v>
      </c>
      <c r="V57" s="89">
        <f>USD!V57</f>
        <v>0.7</v>
      </c>
      <c r="W57" s="89">
        <f>USD!W57</f>
        <v>0.85</v>
      </c>
      <c r="X57" s="89">
        <f>USD!X57</f>
        <v>0.95</v>
      </c>
      <c r="Y57" s="89">
        <f>USD!Y57</f>
        <v>1</v>
      </c>
      <c r="Z57" s="89">
        <f>USD!Z57</f>
        <v>0.9</v>
      </c>
      <c r="AA57" s="89">
        <f>USD!AA57</f>
        <v>0.85</v>
      </c>
    </row>
    <row r="58" spans="15:27" ht="12.75">
      <c r="O58" s="191" t="str">
        <f>USD!O58</f>
        <v>г. Курск</v>
      </c>
      <c r="P58" s="88">
        <f>USD!P58</f>
        <v>100</v>
      </c>
      <c r="Q58" s="88">
        <f>USD!Q58</f>
        <v>85</v>
      </c>
      <c r="R58" s="89">
        <f>USD!R58</f>
        <v>0.9</v>
      </c>
      <c r="S58" s="89">
        <f>USD!S58</f>
        <v>0.85</v>
      </c>
      <c r="T58" s="89">
        <f>USD!T58</f>
        <v>0.7</v>
      </c>
      <c r="U58" s="89">
        <f>USD!U58</f>
        <v>0.85</v>
      </c>
      <c r="V58" s="89">
        <f>USD!V58</f>
        <v>0.7</v>
      </c>
      <c r="W58" s="89">
        <f>USD!W58</f>
        <v>0.9</v>
      </c>
      <c r="X58" s="89">
        <f>USD!X58</f>
        <v>0.95</v>
      </c>
      <c r="Y58" s="89">
        <f>USD!Y58</f>
        <v>1</v>
      </c>
      <c r="Z58" s="89">
        <f>USD!Z58</f>
        <v>0.9</v>
      </c>
      <c r="AA58" s="89">
        <f>USD!AA58</f>
        <v>0.85</v>
      </c>
    </row>
    <row r="59" spans="15:27" ht="33.75">
      <c r="O59" s="191" t="str">
        <f>USD!O59</f>
        <v>Ленинградская область (включая г. Санкт-Петербург)</v>
      </c>
      <c r="P59" s="88">
        <f>USD!P59</f>
        <v>120</v>
      </c>
      <c r="Q59" s="88">
        <f>USD!Q59</f>
        <v>100</v>
      </c>
      <c r="R59" s="89">
        <f>USD!R59</f>
        <v>1</v>
      </c>
      <c r="S59" s="89">
        <f>USD!S59</f>
        <v>0.95</v>
      </c>
      <c r="T59" s="89">
        <f>USD!T59</f>
        <v>0.9</v>
      </c>
      <c r="U59" s="89">
        <f>USD!U59</f>
        <v>0.95</v>
      </c>
      <c r="V59" s="89">
        <f>USD!V59</f>
        <v>0.95</v>
      </c>
      <c r="W59" s="89">
        <f>USD!W59</f>
        <v>1</v>
      </c>
      <c r="X59" s="89">
        <f>USD!X59</f>
        <v>0.95</v>
      </c>
      <c r="Y59" s="89">
        <f>USD!Y59</f>
        <v>1</v>
      </c>
      <c r="Z59" s="89">
        <f>USD!Z59</f>
        <v>0.9</v>
      </c>
      <c r="AA59" s="89">
        <f>USD!AA59</f>
        <v>0.85</v>
      </c>
    </row>
    <row r="60" spans="15:27" ht="22.5">
      <c r="O60" s="191" t="str">
        <f>USD!O60</f>
        <v>Липецкая область (не включая г. Липецк)</v>
      </c>
      <c r="P60" s="88">
        <f>USD!P60</f>
        <v>100</v>
      </c>
      <c r="Q60" s="88">
        <f>USD!Q60</f>
        <v>85</v>
      </c>
      <c r="R60" s="89">
        <f>USD!R60</f>
        <v>0.85</v>
      </c>
      <c r="S60" s="89">
        <f>USD!S60</f>
        <v>0.85</v>
      </c>
      <c r="T60" s="89">
        <f>USD!T60</f>
        <v>0.7</v>
      </c>
      <c r="U60" s="89">
        <f>USD!U60</f>
        <v>0.85</v>
      </c>
      <c r="V60" s="89">
        <f>USD!V60</f>
        <v>0.7</v>
      </c>
      <c r="W60" s="89">
        <f>USD!W60</f>
        <v>0.85</v>
      </c>
      <c r="X60" s="89">
        <f>USD!X60</f>
        <v>0.95</v>
      </c>
      <c r="Y60" s="89">
        <f>USD!Y60</f>
        <v>1</v>
      </c>
      <c r="Z60" s="89">
        <f>USD!Z60</f>
        <v>0.9</v>
      </c>
      <c r="AA60" s="89">
        <f>USD!AA60</f>
        <v>0.85</v>
      </c>
    </row>
    <row r="61" spans="15:27" ht="12.75">
      <c r="O61" s="191" t="str">
        <f>USD!O61</f>
        <v>г. Липецк</v>
      </c>
      <c r="P61" s="88">
        <f>USD!P61</f>
        <v>100</v>
      </c>
      <c r="Q61" s="88">
        <f>USD!Q61</f>
        <v>85</v>
      </c>
      <c r="R61" s="89">
        <f>USD!R61</f>
        <v>0.9</v>
      </c>
      <c r="S61" s="89">
        <f>USD!S61</f>
        <v>0.85</v>
      </c>
      <c r="T61" s="89">
        <f>USD!T61</f>
        <v>0.7</v>
      </c>
      <c r="U61" s="89">
        <f>USD!U61</f>
        <v>0.85</v>
      </c>
      <c r="V61" s="89">
        <f>USD!V61</f>
        <v>0.7</v>
      </c>
      <c r="W61" s="89">
        <f>USD!W61</f>
        <v>0.9</v>
      </c>
      <c r="X61" s="89">
        <f>USD!X61</f>
        <v>0.95</v>
      </c>
      <c r="Y61" s="89">
        <f>USD!Y61</f>
        <v>1</v>
      </c>
      <c r="Z61" s="89">
        <f>USD!Z61</f>
        <v>0.9</v>
      </c>
      <c r="AA61" s="89">
        <f>USD!AA61</f>
        <v>0.85</v>
      </c>
    </row>
    <row r="62" spans="15:27" ht="33.75">
      <c r="O62" s="191" t="str">
        <f>USD!O62</f>
        <v>Нижегородская область (не включая г. Нижний Новгород)</v>
      </c>
      <c r="P62" s="88">
        <f>USD!P62</f>
        <v>100</v>
      </c>
      <c r="Q62" s="88">
        <f>USD!Q62</f>
        <v>85</v>
      </c>
      <c r="R62" s="89">
        <f>USD!R62</f>
        <v>0.85</v>
      </c>
      <c r="S62" s="89">
        <f>USD!S62</f>
        <v>0.85</v>
      </c>
      <c r="T62" s="89">
        <f>USD!T62</f>
        <v>0.7</v>
      </c>
      <c r="U62" s="89">
        <f>USD!U62</f>
        <v>0.85</v>
      </c>
      <c r="V62" s="89">
        <f>USD!V62</f>
        <v>0.7</v>
      </c>
      <c r="W62" s="89">
        <f>USD!W62</f>
        <v>0.85</v>
      </c>
      <c r="X62" s="89">
        <f>USD!X62</f>
        <v>0.95</v>
      </c>
      <c r="Y62" s="89">
        <f>USD!Y62</f>
        <v>1</v>
      </c>
      <c r="Z62" s="89">
        <f>USD!Z62</f>
        <v>0.9</v>
      </c>
      <c r="AA62" s="89">
        <f>USD!AA62</f>
        <v>0.85</v>
      </c>
    </row>
    <row r="63" spans="15:27" ht="12.75">
      <c r="O63" s="191" t="str">
        <f>USD!O63</f>
        <v>г. Нижний Новгород</v>
      </c>
      <c r="P63" s="88">
        <f>USD!P63</f>
        <v>100</v>
      </c>
      <c r="Q63" s="88">
        <f>USD!Q63</f>
        <v>85</v>
      </c>
      <c r="R63" s="89">
        <f>USD!R63</f>
        <v>1</v>
      </c>
      <c r="S63" s="89">
        <f>USD!S63</f>
        <v>0.95</v>
      </c>
      <c r="T63" s="89">
        <f>USD!T63</f>
        <v>0.9</v>
      </c>
      <c r="U63" s="89">
        <f>USD!U63</f>
        <v>0.95</v>
      </c>
      <c r="V63" s="89">
        <f>USD!V63</f>
        <v>0.95</v>
      </c>
      <c r="W63" s="89">
        <f>USD!W63</f>
        <v>1</v>
      </c>
      <c r="X63" s="89">
        <f>USD!X63</f>
        <v>0.95</v>
      </c>
      <c r="Y63" s="89">
        <f>USD!Y63</f>
        <v>1</v>
      </c>
      <c r="Z63" s="89">
        <f>USD!Z63</f>
        <v>0.9</v>
      </c>
      <c r="AA63" s="89">
        <f>USD!AA63</f>
        <v>0.85</v>
      </c>
    </row>
    <row r="64" spans="15:27" ht="33.75">
      <c r="O64" s="191" t="str">
        <f>USD!O64</f>
        <v>Новосибирская область (не включая г. Новосибирск)</v>
      </c>
      <c r="P64" s="88">
        <f>USD!P64</f>
        <v>100</v>
      </c>
      <c r="Q64" s="88">
        <f>USD!Q64</f>
        <v>85</v>
      </c>
      <c r="R64" s="89">
        <f>USD!R64</f>
        <v>0.85</v>
      </c>
      <c r="S64" s="89">
        <f>USD!S64</f>
        <v>0.85</v>
      </c>
      <c r="T64" s="89">
        <f>USD!T64</f>
        <v>0.7</v>
      </c>
      <c r="U64" s="89">
        <f>USD!U64</f>
        <v>0.85</v>
      </c>
      <c r="V64" s="89">
        <f>USD!V64</f>
        <v>0.7</v>
      </c>
      <c r="W64" s="89">
        <f>USD!W64</f>
        <v>0.85</v>
      </c>
      <c r="X64" s="89">
        <f>USD!X64</f>
        <v>0.95</v>
      </c>
      <c r="Y64" s="89">
        <f>USD!Y64</f>
        <v>1</v>
      </c>
      <c r="Z64" s="89">
        <f>USD!Z64</f>
        <v>0.9</v>
      </c>
      <c r="AA64" s="89">
        <f>USD!AA64</f>
        <v>0.85</v>
      </c>
    </row>
    <row r="65" spans="15:27" ht="12.75">
      <c r="O65" s="191" t="str">
        <f>USD!O65</f>
        <v>г. Новосибирск</v>
      </c>
      <c r="P65" s="88">
        <f>USD!P65</f>
        <v>100</v>
      </c>
      <c r="Q65" s="88">
        <f>USD!Q65</f>
        <v>85</v>
      </c>
      <c r="R65" s="89">
        <f>USD!R65</f>
        <v>1</v>
      </c>
      <c r="S65" s="89">
        <f>USD!S65</f>
        <v>0.95</v>
      </c>
      <c r="T65" s="89">
        <f>USD!T65</f>
        <v>0.9</v>
      </c>
      <c r="U65" s="89">
        <f>USD!U65</f>
        <v>0.95</v>
      </c>
      <c r="V65" s="89">
        <f>USD!V65</f>
        <v>0.95</v>
      </c>
      <c r="W65" s="89">
        <f>USD!W65</f>
        <v>1</v>
      </c>
      <c r="X65" s="89">
        <f>USD!X65</f>
        <v>0.95</v>
      </c>
      <c r="Y65" s="89">
        <f>USD!Y65</f>
        <v>1</v>
      </c>
      <c r="Z65" s="89">
        <f>USD!Z65</f>
        <v>0.9</v>
      </c>
      <c r="AA65" s="89">
        <f>USD!AA65</f>
        <v>0.85</v>
      </c>
    </row>
    <row r="66" spans="15:27" ht="22.5">
      <c r="O66" s="191" t="str">
        <f>USD!O66</f>
        <v>Омская область (не включая г. Омск)</v>
      </c>
      <c r="P66" s="88">
        <f>USD!P66</f>
        <v>100</v>
      </c>
      <c r="Q66" s="88">
        <f>USD!Q66</f>
        <v>85</v>
      </c>
      <c r="R66" s="89">
        <f>USD!R66</f>
        <v>0.85</v>
      </c>
      <c r="S66" s="89">
        <f>USD!S66</f>
        <v>0.85</v>
      </c>
      <c r="T66" s="89">
        <f>USD!T66</f>
        <v>0.7</v>
      </c>
      <c r="U66" s="89">
        <f>USD!U66</f>
        <v>0.85</v>
      </c>
      <c r="V66" s="89">
        <f>USD!V66</f>
        <v>0.7</v>
      </c>
      <c r="W66" s="89">
        <f>USD!W66</f>
        <v>0.85</v>
      </c>
      <c r="X66" s="89">
        <f>USD!X66</f>
        <v>0.95</v>
      </c>
      <c r="Y66" s="89">
        <f>USD!Y66</f>
        <v>1</v>
      </c>
      <c r="Z66" s="89">
        <f>USD!Z66</f>
        <v>0.9</v>
      </c>
      <c r="AA66" s="89">
        <f>USD!AA66</f>
        <v>0.85</v>
      </c>
    </row>
    <row r="67" spans="15:27" ht="12.75">
      <c r="O67" s="191" t="str">
        <f>USD!O67</f>
        <v>г. Омск</v>
      </c>
      <c r="P67" s="88">
        <f>USD!P67</f>
        <v>100</v>
      </c>
      <c r="Q67" s="88">
        <f>USD!Q67</f>
        <v>85</v>
      </c>
      <c r="R67" s="89">
        <f>USD!R67</f>
        <v>0.9</v>
      </c>
      <c r="S67" s="89">
        <f>USD!S67</f>
        <v>0.85</v>
      </c>
      <c r="T67" s="89">
        <f>USD!T67</f>
        <v>0.7</v>
      </c>
      <c r="U67" s="89">
        <f>USD!U67</f>
        <v>0.85</v>
      </c>
      <c r="V67" s="89">
        <f>USD!V67</f>
        <v>0.7</v>
      </c>
      <c r="W67" s="89">
        <f>USD!W67</f>
        <v>0.9</v>
      </c>
      <c r="X67" s="89">
        <f>USD!X67</f>
        <v>0.95</v>
      </c>
      <c r="Y67" s="89">
        <f>USD!Y67</f>
        <v>1</v>
      </c>
      <c r="Z67" s="89">
        <f>USD!Z67</f>
        <v>0.9</v>
      </c>
      <c r="AA67" s="89">
        <f>USD!AA67</f>
        <v>0.85</v>
      </c>
    </row>
    <row r="68" spans="15:27" ht="22.5">
      <c r="O68" s="191" t="str">
        <f>USD!O68</f>
        <v>Пермский край (не включая г. Пермь)</v>
      </c>
      <c r="P68" s="88">
        <f>USD!P68</f>
        <v>100</v>
      </c>
      <c r="Q68" s="88">
        <f>USD!Q68</f>
        <v>85</v>
      </c>
      <c r="R68" s="89">
        <f>USD!R68</f>
        <v>0.85</v>
      </c>
      <c r="S68" s="89">
        <f>USD!S68</f>
        <v>0.85</v>
      </c>
      <c r="T68" s="89">
        <f>USD!T68</f>
        <v>0.7</v>
      </c>
      <c r="U68" s="89">
        <f>USD!U68</f>
        <v>0.85</v>
      </c>
      <c r="V68" s="89">
        <f>USD!V68</f>
        <v>0.7</v>
      </c>
      <c r="W68" s="89">
        <f>USD!W68</f>
        <v>0.85</v>
      </c>
      <c r="X68" s="89">
        <f>USD!X68</f>
        <v>0.95</v>
      </c>
      <c r="Y68" s="89">
        <f>USD!Y68</f>
        <v>1</v>
      </c>
      <c r="Z68" s="89">
        <f>USD!Z68</f>
        <v>0.9</v>
      </c>
      <c r="AA68" s="89">
        <f>USD!AA68</f>
        <v>0.85</v>
      </c>
    </row>
    <row r="69" spans="15:27" ht="12.75">
      <c r="O69" s="191" t="str">
        <f>USD!O69</f>
        <v>г. Пермь</v>
      </c>
      <c r="P69" s="88">
        <f>USD!P69</f>
        <v>100</v>
      </c>
      <c r="Q69" s="88">
        <f>USD!Q69</f>
        <v>85</v>
      </c>
      <c r="R69" s="89">
        <f>USD!R69</f>
        <v>0.9</v>
      </c>
      <c r="S69" s="89">
        <f>USD!S69</f>
        <v>0.85</v>
      </c>
      <c r="T69" s="89">
        <f>USD!T69</f>
        <v>0.7</v>
      </c>
      <c r="U69" s="89">
        <f>USD!U69</f>
        <v>0.85</v>
      </c>
      <c r="V69" s="89">
        <f>USD!V69</f>
        <v>0.7</v>
      </c>
      <c r="W69" s="89">
        <f>USD!W69</f>
        <v>0.9</v>
      </c>
      <c r="X69" s="89">
        <f>USD!X69</f>
        <v>0.95</v>
      </c>
      <c r="Y69" s="89">
        <f>USD!Y69</f>
        <v>1</v>
      </c>
      <c r="Z69" s="89">
        <f>USD!Z69</f>
        <v>0.9</v>
      </c>
      <c r="AA69" s="89">
        <f>USD!AA69</f>
        <v>0.85</v>
      </c>
    </row>
    <row r="70" spans="15:27" ht="22.5">
      <c r="O70" s="191" t="str">
        <f>USD!O70</f>
        <v>Приморский край (включая г. Владивосток)</v>
      </c>
      <c r="P70" s="88">
        <f>USD!P70</f>
        <v>120</v>
      </c>
      <c r="Q70" s="88">
        <f>USD!Q70</f>
        <v>100</v>
      </c>
      <c r="R70" s="89">
        <f>USD!R70</f>
        <v>0.85</v>
      </c>
      <c r="S70" s="89">
        <f>USD!S70</f>
        <v>0.85</v>
      </c>
      <c r="T70" s="89">
        <f>USD!T70</f>
        <v>0.7</v>
      </c>
      <c r="U70" s="89">
        <f>USD!U70</f>
        <v>0.85</v>
      </c>
      <c r="V70" s="89">
        <f>USD!V70</f>
        <v>0.7</v>
      </c>
      <c r="W70" s="89">
        <f>USD!W70</f>
        <v>0.85</v>
      </c>
      <c r="X70" s="89">
        <f>USD!X70</f>
        <v>0.95</v>
      </c>
      <c r="Y70" s="89">
        <f>USD!Y70</f>
        <v>1</v>
      </c>
      <c r="Z70" s="89">
        <f>USD!Z70</f>
        <v>0.9</v>
      </c>
      <c r="AA70" s="89">
        <f>USD!AA70</f>
        <v>0.85</v>
      </c>
    </row>
    <row r="71" spans="15:27" ht="22.5">
      <c r="O71" s="191" t="str">
        <f>USD!O71</f>
        <v>Республика Коми (не включая г. Сыктывкар)</v>
      </c>
      <c r="P71" s="88">
        <f>USD!P71</f>
        <v>100</v>
      </c>
      <c r="Q71" s="88">
        <f>USD!Q71</f>
        <v>85</v>
      </c>
      <c r="R71" s="89">
        <f>USD!R71</f>
        <v>0.85</v>
      </c>
      <c r="S71" s="89">
        <f>USD!S71</f>
        <v>0.85</v>
      </c>
      <c r="T71" s="89">
        <f>USD!T71</f>
        <v>0.7</v>
      </c>
      <c r="U71" s="89">
        <f>USD!U71</f>
        <v>0.85</v>
      </c>
      <c r="V71" s="89">
        <f>USD!V71</f>
        <v>0.7</v>
      </c>
      <c r="W71" s="89">
        <f>USD!W71</f>
        <v>0.85</v>
      </c>
      <c r="X71" s="89">
        <f>USD!X71</f>
        <v>0.95</v>
      </c>
      <c r="Y71" s="89">
        <f>USD!Y71</f>
        <v>1</v>
      </c>
      <c r="Z71" s="89">
        <f>USD!Z71</f>
        <v>0.9</v>
      </c>
      <c r="AA71" s="89">
        <f>USD!AA71</f>
        <v>0.85</v>
      </c>
    </row>
    <row r="72" spans="15:27" ht="12.75">
      <c r="O72" s="191" t="str">
        <f>USD!O72</f>
        <v>г. Сыктывкар</v>
      </c>
      <c r="P72" s="88">
        <f>USD!P72</f>
        <v>100</v>
      </c>
      <c r="Q72" s="88">
        <f>USD!Q72</f>
        <v>85</v>
      </c>
      <c r="R72" s="89">
        <f>USD!R72</f>
        <v>0.9</v>
      </c>
      <c r="S72" s="89">
        <f>USD!S72</f>
        <v>0.85</v>
      </c>
      <c r="T72" s="89">
        <f>USD!T72</f>
        <v>0.7</v>
      </c>
      <c r="U72" s="89">
        <f>USD!U72</f>
        <v>0.85</v>
      </c>
      <c r="V72" s="89">
        <f>USD!V72</f>
        <v>0.7</v>
      </c>
      <c r="W72" s="89">
        <f>USD!W72</f>
        <v>0.9</v>
      </c>
      <c r="X72" s="89">
        <f>USD!X72</f>
        <v>0.95</v>
      </c>
      <c r="Y72" s="89">
        <f>USD!Y72</f>
        <v>1</v>
      </c>
      <c r="Z72" s="89">
        <f>USD!Z72</f>
        <v>0.9</v>
      </c>
      <c r="AA72" s="89">
        <f>USD!AA72</f>
        <v>0.85</v>
      </c>
    </row>
    <row r="73" spans="15:27" ht="22.5">
      <c r="O73" s="191" t="str">
        <f>USD!O73</f>
        <v>Республика Марий Эл (не включая г. Йошкар-Олу)</v>
      </c>
      <c r="P73" s="88">
        <f>USD!P73</f>
        <v>100</v>
      </c>
      <c r="Q73" s="88">
        <f>USD!Q73</f>
        <v>85</v>
      </c>
      <c r="R73" s="89">
        <f>USD!R73</f>
        <v>0.85</v>
      </c>
      <c r="S73" s="89">
        <f>USD!S73</f>
        <v>0.85</v>
      </c>
      <c r="T73" s="89">
        <f>USD!T73</f>
        <v>0.7</v>
      </c>
      <c r="U73" s="89">
        <f>USD!U73</f>
        <v>0.85</v>
      </c>
      <c r="V73" s="89">
        <f>USD!V73</f>
        <v>0.7</v>
      </c>
      <c r="W73" s="89">
        <f>USD!W73</f>
        <v>0.85</v>
      </c>
      <c r="X73" s="89">
        <f>USD!X73</f>
        <v>0.95</v>
      </c>
      <c r="Y73" s="89">
        <f>USD!Y73</f>
        <v>1</v>
      </c>
      <c r="Z73" s="89">
        <f>USD!Z73</f>
        <v>0.9</v>
      </c>
      <c r="AA73" s="89">
        <f>USD!AA73</f>
        <v>0.85</v>
      </c>
    </row>
    <row r="74" spans="15:27" ht="12.75">
      <c r="O74" s="191" t="str">
        <f>USD!O74</f>
        <v>г. Йошкар-Ола</v>
      </c>
      <c r="P74" s="88">
        <f>USD!P74</f>
        <v>100</v>
      </c>
      <c r="Q74" s="88">
        <f>USD!Q74</f>
        <v>85</v>
      </c>
      <c r="R74" s="89">
        <f>USD!R74</f>
        <v>0.9</v>
      </c>
      <c r="S74" s="89">
        <f>USD!S74</f>
        <v>0.85</v>
      </c>
      <c r="T74" s="89">
        <f>USD!T74</f>
        <v>0.7</v>
      </c>
      <c r="U74" s="89">
        <f>USD!U74</f>
        <v>0.85</v>
      </c>
      <c r="V74" s="89">
        <f>USD!V74</f>
        <v>0.7</v>
      </c>
      <c r="W74" s="89">
        <f>USD!W74</f>
        <v>0.9</v>
      </c>
      <c r="X74" s="89">
        <f>USD!X74</f>
        <v>0.95</v>
      </c>
      <c r="Y74" s="89">
        <f>USD!Y74</f>
        <v>1</v>
      </c>
      <c r="Z74" s="89">
        <f>USD!Z74</f>
        <v>0.9</v>
      </c>
      <c r="AA74" s="89">
        <f>USD!AA74</f>
        <v>0.85</v>
      </c>
    </row>
    <row r="75" spans="15:27" ht="33.75">
      <c r="O75" s="191" t="str">
        <f>USD!O75</f>
        <v>Республика Саха (Якутия) (не включая г. Якутск)</v>
      </c>
      <c r="P75" s="88">
        <f>USD!P75</f>
        <v>120</v>
      </c>
      <c r="Q75" s="88">
        <f>USD!Q75</f>
        <v>100</v>
      </c>
      <c r="R75" s="89">
        <f>USD!R75</f>
        <v>0.85</v>
      </c>
      <c r="S75" s="89">
        <f>USD!S75</f>
        <v>0.85</v>
      </c>
      <c r="T75" s="89">
        <f>USD!T75</f>
        <v>0.7</v>
      </c>
      <c r="U75" s="89">
        <f>USD!U75</f>
        <v>0.85</v>
      </c>
      <c r="V75" s="89">
        <f>USD!V75</f>
        <v>0.7</v>
      </c>
      <c r="W75" s="89">
        <f>USD!W75</f>
        <v>0.85</v>
      </c>
      <c r="X75" s="89">
        <f>USD!X75</f>
        <v>0.95</v>
      </c>
      <c r="Y75" s="89">
        <f>USD!Y75</f>
        <v>1</v>
      </c>
      <c r="Z75" s="89">
        <f>USD!Z75</f>
        <v>0.9</v>
      </c>
      <c r="AA75" s="89">
        <f>USD!AA75</f>
        <v>0.85</v>
      </c>
    </row>
    <row r="76" spans="15:27" ht="12.75">
      <c r="O76" s="191" t="str">
        <f>USD!O76</f>
        <v>г. Якутск</v>
      </c>
      <c r="P76" s="88">
        <f>USD!P76</f>
        <v>120</v>
      </c>
      <c r="Q76" s="88">
        <f>USD!Q76</f>
        <v>100</v>
      </c>
      <c r="R76" s="89">
        <f>USD!R76</f>
        <v>0.9</v>
      </c>
      <c r="S76" s="89">
        <f>USD!S76</f>
        <v>0.85</v>
      </c>
      <c r="T76" s="89">
        <f>USD!T76</f>
        <v>0.7</v>
      </c>
      <c r="U76" s="89">
        <f>USD!U76</f>
        <v>0.85</v>
      </c>
      <c r="V76" s="89">
        <f>USD!V76</f>
        <v>0.7</v>
      </c>
      <c r="W76" s="89">
        <f>USD!W76</f>
        <v>0.9</v>
      </c>
      <c r="X76" s="89">
        <f>USD!X76</f>
        <v>0.95</v>
      </c>
      <c r="Y76" s="89">
        <f>USD!Y76</f>
        <v>1</v>
      </c>
      <c r="Z76" s="89">
        <f>USD!Z76</f>
        <v>0.9</v>
      </c>
      <c r="AA76" s="89">
        <f>USD!AA76</f>
        <v>0.85</v>
      </c>
    </row>
    <row r="77" spans="15:27" ht="22.5">
      <c r="O77" s="191" t="str">
        <f>USD!O77</f>
        <v>Республика Татарстан (не включая г. Казань)</v>
      </c>
      <c r="P77" s="88">
        <f>USD!P77</f>
        <v>100</v>
      </c>
      <c r="Q77" s="88">
        <f>USD!Q77</f>
        <v>85</v>
      </c>
      <c r="R77" s="89">
        <f>USD!R77</f>
        <v>0.85</v>
      </c>
      <c r="S77" s="89">
        <f>USD!S77</f>
        <v>0.85</v>
      </c>
      <c r="T77" s="89">
        <f>USD!T77</f>
        <v>0.7</v>
      </c>
      <c r="U77" s="89">
        <f>USD!U77</f>
        <v>0.85</v>
      </c>
      <c r="V77" s="89">
        <f>USD!V77</f>
        <v>0.7</v>
      </c>
      <c r="W77" s="89">
        <f>USD!W77</f>
        <v>0.85</v>
      </c>
      <c r="X77" s="89">
        <f>USD!X77</f>
        <v>0.95</v>
      </c>
      <c r="Y77" s="89">
        <f>USD!Y77</f>
        <v>1</v>
      </c>
      <c r="Z77" s="89">
        <f>USD!Z77</f>
        <v>0.9</v>
      </c>
      <c r="AA77" s="89">
        <f>USD!AA77</f>
        <v>0.85</v>
      </c>
    </row>
    <row r="78" spans="15:27" ht="12.75">
      <c r="O78" s="191" t="str">
        <f>USD!O78</f>
        <v>г. Казань</v>
      </c>
      <c r="P78" s="88">
        <f>USD!P78</f>
        <v>100</v>
      </c>
      <c r="Q78" s="88">
        <f>USD!Q78</f>
        <v>85</v>
      </c>
      <c r="R78" s="89">
        <f>USD!R78</f>
        <v>1</v>
      </c>
      <c r="S78" s="89">
        <f>USD!S78</f>
        <v>0.95</v>
      </c>
      <c r="T78" s="89">
        <f>USD!T78</f>
        <v>0.9</v>
      </c>
      <c r="U78" s="89">
        <f>USD!U78</f>
        <v>0.95</v>
      </c>
      <c r="V78" s="89">
        <f>USD!V78</f>
        <v>0.95</v>
      </c>
      <c r="W78" s="89">
        <f>USD!W78</f>
        <v>1</v>
      </c>
      <c r="X78" s="89">
        <f>USD!X78</f>
        <v>0.95</v>
      </c>
      <c r="Y78" s="89">
        <f>USD!Y78</f>
        <v>1</v>
      </c>
      <c r="Z78" s="89">
        <f>USD!Z78</f>
        <v>0.9</v>
      </c>
      <c r="AA78" s="89">
        <f>USD!AA78</f>
        <v>0.85</v>
      </c>
    </row>
    <row r="79" spans="15:27" ht="33.75">
      <c r="O79" s="191" t="str">
        <f>USD!O79</f>
        <v>Ростовская область (не включая г. Ростов-на-Дону)</v>
      </c>
      <c r="P79" s="88">
        <f>USD!P79</f>
        <v>100</v>
      </c>
      <c r="Q79" s="88">
        <f>USD!Q79</f>
        <v>85</v>
      </c>
      <c r="R79" s="89">
        <f>USD!R79</f>
        <v>0.85</v>
      </c>
      <c r="S79" s="89">
        <f>USD!S79</f>
        <v>0.85</v>
      </c>
      <c r="T79" s="89">
        <f>USD!T79</f>
        <v>0.7</v>
      </c>
      <c r="U79" s="89">
        <f>USD!U79</f>
        <v>0.85</v>
      </c>
      <c r="V79" s="89">
        <f>USD!V79</f>
        <v>0.7</v>
      </c>
      <c r="W79" s="89">
        <f>USD!W79</f>
        <v>0.85</v>
      </c>
      <c r="X79" s="89">
        <f>USD!X79</f>
        <v>0.95</v>
      </c>
      <c r="Y79" s="89">
        <f>USD!Y79</f>
        <v>1</v>
      </c>
      <c r="Z79" s="89">
        <f>USD!Z79</f>
        <v>0.9</v>
      </c>
      <c r="AA79" s="89">
        <f>USD!AA79</f>
        <v>0.85</v>
      </c>
    </row>
    <row r="80" spans="15:27" ht="12.75">
      <c r="O80" s="191" t="str">
        <f>USD!O80</f>
        <v>г. Ростов-на-Дону</v>
      </c>
      <c r="P80" s="88">
        <f>USD!P80</f>
        <v>100</v>
      </c>
      <c r="Q80" s="88">
        <f>USD!Q80</f>
        <v>85</v>
      </c>
      <c r="R80" s="89">
        <f>USD!R80</f>
        <v>0.95</v>
      </c>
      <c r="S80" s="89">
        <f>USD!S80</f>
        <v>0.95</v>
      </c>
      <c r="T80" s="89">
        <f>USD!T80</f>
        <v>0.9</v>
      </c>
      <c r="U80" s="89">
        <f>USD!U80</f>
        <v>0.95</v>
      </c>
      <c r="V80" s="89">
        <f>USD!V80</f>
        <v>0.95</v>
      </c>
      <c r="W80" s="89">
        <f>USD!W80</f>
        <v>0.95</v>
      </c>
      <c r="X80" s="89">
        <f>USD!X80</f>
        <v>0.95</v>
      </c>
      <c r="Y80" s="89">
        <f>USD!Y80</f>
        <v>1</v>
      </c>
      <c r="Z80" s="89">
        <f>USD!Z80</f>
        <v>0.9</v>
      </c>
      <c r="AA80" s="89">
        <f>USD!AA80</f>
        <v>0.85</v>
      </c>
    </row>
    <row r="81" spans="15:27" ht="33.75">
      <c r="O81" s="191" t="str">
        <f>USD!O81</f>
        <v>Самарская область (не включая г. Самара и г. Тольятти)</v>
      </c>
      <c r="P81" s="88">
        <f>USD!P81</f>
        <v>100</v>
      </c>
      <c r="Q81" s="88">
        <f>USD!Q81</f>
        <v>85</v>
      </c>
      <c r="R81" s="89">
        <f>USD!R81</f>
        <v>0.85</v>
      </c>
      <c r="S81" s="89">
        <f>USD!S81</f>
        <v>0.85</v>
      </c>
      <c r="T81" s="89">
        <f>USD!T81</f>
        <v>0.7</v>
      </c>
      <c r="U81" s="89">
        <f>USD!U81</f>
        <v>0.85</v>
      </c>
      <c r="V81" s="89">
        <f>USD!V81</f>
        <v>0.7</v>
      </c>
      <c r="W81" s="89">
        <f>USD!W81</f>
        <v>0.85</v>
      </c>
      <c r="X81" s="89">
        <f>USD!X81</f>
        <v>0.95</v>
      </c>
      <c r="Y81" s="89">
        <f>USD!Y81</f>
        <v>1</v>
      </c>
      <c r="Z81" s="89">
        <f>USD!Z81</f>
        <v>0.9</v>
      </c>
      <c r="AA81" s="89">
        <f>USD!AA81</f>
        <v>0.85</v>
      </c>
    </row>
    <row r="82" spans="15:27" ht="12.75">
      <c r="O82" s="191" t="str">
        <f>USD!O82</f>
        <v>г. Самара</v>
      </c>
      <c r="P82" s="88">
        <f>USD!P82</f>
        <v>100</v>
      </c>
      <c r="Q82" s="88">
        <f>USD!Q82</f>
        <v>85</v>
      </c>
      <c r="R82" s="89">
        <f>USD!R82</f>
        <v>1</v>
      </c>
      <c r="S82" s="89">
        <f>USD!S82</f>
        <v>0.95</v>
      </c>
      <c r="T82" s="89">
        <f>USD!T82</f>
        <v>0.9</v>
      </c>
      <c r="U82" s="89">
        <f>USD!U82</f>
        <v>0.95</v>
      </c>
      <c r="V82" s="89">
        <f>USD!V82</f>
        <v>0.95</v>
      </c>
      <c r="W82" s="89">
        <f>USD!W82</f>
        <v>1</v>
      </c>
      <c r="X82" s="89">
        <f>USD!X82</f>
        <v>0.95</v>
      </c>
      <c r="Y82" s="89">
        <f>USD!Y82</f>
        <v>1</v>
      </c>
      <c r="Z82" s="89">
        <f>USD!Z82</f>
        <v>0.9</v>
      </c>
      <c r="AA82" s="89">
        <f>USD!AA82</f>
        <v>0.85</v>
      </c>
    </row>
    <row r="83" spans="15:27" ht="12.75">
      <c r="O83" s="191" t="str">
        <f>USD!O83</f>
        <v>г. Тольятти</v>
      </c>
      <c r="P83" s="88">
        <f>USD!P83</f>
        <v>100</v>
      </c>
      <c r="Q83" s="88">
        <f>USD!Q83</f>
        <v>85</v>
      </c>
      <c r="R83" s="89">
        <f>USD!R83</f>
        <v>0.9</v>
      </c>
      <c r="S83" s="89">
        <f>USD!S83</f>
        <v>0.85</v>
      </c>
      <c r="T83" s="89">
        <f>USD!T83</f>
        <v>0.7</v>
      </c>
      <c r="U83" s="89">
        <f>USD!U83</f>
        <v>0.85</v>
      </c>
      <c r="V83" s="89">
        <f>USD!V83</f>
        <v>0.7</v>
      </c>
      <c r="W83" s="89">
        <f>USD!W83</f>
        <v>0.9</v>
      </c>
      <c r="X83" s="89">
        <f>USD!X83</f>
        <v>0.95</v>
      </c>
      <c r="Y83" s="89">
        <f>USD!Y83</f>
        <v>1</v>
      </c>
      <c r="Z83" s="89">
        <f>USD!Z83</f>
        <v>0.9</v>
      </c>
      <c r="AA83" s="89">
        <f>USD!AA83</f>
        <v>0.85</v>
      </c>
    </row>
    <row r="84" spans="15:27" ht="22.5">
      <c r="O84" s="191" t="str">
        <f>USD!O84</f>
        <v>Саратовская область (включая г. Саратов)</v>
      </c>
      <c r="P84" s="88">
        <f>USD!P84</f>
        <v>100</v>
      </c>
      <c r="Q84" s="88">
        <f>USD!Q84</f>
        <v>85</v>
      </c>
      <c r="R84" s="89">
        <f>USD!R84</f>
        <v>0.85</v>
      </c>
      <c r="S84" s="89">
        <f>USD!S84</f>
        <v>0.85</v>
      </c>
      <c r="T84" s="89">
        <f>USD!T84</f>
        <v>0.7</v>
      </c>
      <c r="U84" s="89">
        <f>USD!U84</f>
        <v>0.85</v>
      </c>
      <c r="V84" s="89">
        <f>USD!V84</f>
        <v>0.7</v>
      </c>
      <c r="W84" s="89">
        <f>USD!W84</f>
        <v>0.85</v>
      </c>
      <c r="X84" s="89">
        <f>USD!X84</f>
        <v>0.95</v>
      </c>
      <c r="Y84" s="89">
        <f>USD!Y84</f>
        <v>1</v>
      </c>
      <c r="Z84" s="89">
        <f>USD!Z84</f>
        <v>0.9</v>
      </c>
      <c r="AA84" s="89">
        <f>USD!AA84</f>
        <v>0.85</v>
      </c>
    </row>
    <row r="85" spans="15:27" ht="33.75">
      <c r="O85" s="191" t="str">
        <f>USD!O85</f>
        <v>Свердловская область (не включая г. Екатеринбург)</v>
      </c>
      <c r="P85" s="88">
        <f>USD!P85</f>
        <v>100</v>
      </c>
      <c r="Q85" s="88">
        <f>USD!Q85</f>
        <v>85</v>
      </c>
      <c r="R85" s="89">
        <f>USD!R85</f>
        <v>0.85</v>
      </c>
      <c r="S85" s="89">
        <f>USD!S85</f>
        <v>0.85</v>
      </c>
      <c r="T85" s="89">
        <f>USD!T85</f>
        <v>0.7</v>
      </c>
      <c r="U85" s="89">
        <f>USD!U85</f>
        <v>0.85</v>
      </c>
      <c r="V85" s="89">
        <f>USD!V85</f>
        <v>0.7</v>
      </c>
      <c r="W85" s="89">
        <f>USD!W85</f>
        <v>0.85</v>
      </c>
      <c r="X85" s="89">
        <f>USD!X85</f>
        <v>0.95</v>
      </c>
      <c r="Y85" s="89">
        <f>USD!Y85</f>
        <v>1</v>
      </c>
      <c r="Z85" s="89">
        <f>USD!Z85</f>
        <v>0.9</v>
      </c>
      <c r="AA85" s="89">
        <f>USD!AA85</f>
        <v>0.85</v>
      </c>
    </row>
    <row r="86" spans="15:27" ht="12.75">
      <c r="O86" s="191" t="str">
        <f>USD!O86</f>
        <v>г. Екатеринбург</v>
      </c>
      <c r="P86" s="88">
        <f>USD!P86</f>
        <v>100</v>
      </c>
      <c r="Q86" s="88">
        <f>USD!Q86</f>
        <v>85</v>
      </c>
      <c r="R86" s="89">
        <f>USD!R86</f>
        <v>1</v>
      </c>
      <c r="S86" s="89">
        <f>USD!S86</f>
        <v>0.95</v>
      </c>
      <c r="T86" s="89">
        <f>USD!T86</f>
        <v>0.9</v>
      </c>
      <c r="U86" s="89">
        <f>USD!U86</f>
        <v>0.95</v>
      </c>
      <c r="V86" s="89">
        <f>USD!V86</f>
        <v>0.95</v>
      </c>
      <c r="W86" s="89">
        <f>USD!W86</f>
        <v>1</v>
      </c>
      <c r="X86" s="89">
        <f>USD!X86</f>
        <v>0.95</v>
      </c>
      <c r="Y86" s="89">
        <f>USD!Y86</f>
        <v>1</v>
      </c>
      <c r="Z86" s="89">
        <f>USD!Z86</f>
        <v>0.9</v>
      </c>
      <c r="AA86" s="89">
        <f>USD!AA86</f>
        <v>0.85</v>
      </c>
    </row>
    <row r="87" spans="15:27" ht="22.5">
      <c r="O87" s="191" t="str">
        <f>USD!O87</f>
        <v>Смоленская область (не включая г. Смоленск)</v>
      </c>
      <c r="P87" s="88">
        <f>USD!P87</f>
        <v>100</v>
      </c>
      <c r="Q87" s="88">
        <f>USD!Q87</f>
        <v>85</v>
      </c>
      <c r="R87" s="89">
        <f>USD!R87</f>
        <v>0.85</v>
      </c>
      <c r="S87" s="89">
        <f>USD!S87</f>
        <v>0.85</v>
      </c>
      <c r="T87" s="89">
        <f>USD!T87</f>
        <v>0.7</v>
      </c>
      <c r="U87" s="89">
        <f>USD!U87</f>
        <v>0.85</v>
      </c>
      <c r="V87" s="89">
        <f>USD!V87</f>
        <v>0.7</v>
      </c>
      <c r="W87" s="89">
        <f>USD!W87</f>
        <v>0.85</v>
      </c>
      <c r="X87" s="89">
        <f>USD!X87</f>
        <v>0.95</v>
      </c>
      <c r="Y87" s="89">
        <f>USD!Y87</f>
        <v>1</v>
      </c>
      <c r="Z87" s="89">
        <f>USD!Z87</f>
        <v>0.9</v>
      </c>
      <c r="AA87" s="89">
        <f>USD!AA87</f>
        <v>0.85</v>
      </c>
    </row>
    <row r="88" spans="15:27" ht="12.75">
      <c r="O88" s="191" t="str">
        <f>USD!O88</f>
        <v>г. Смоленск</v>
      </c>
      <c r="P88" s="88">
        <f>USD!P88</f>
        <v>100</v>
      </c>
      <c r="Q88" s="88">
        <f>USD!Q88</f>
        <v>85</v>
      </c>
      <c r="R88" s="89">
        <f>USD!R88</f>
        <v>0.9</v>
      </c>
      <c r="S88" s="89">
        <f>USD!S88</f>
        <v>0.85</v>
      </c>
      <c r="T88" s="89">
        <f>USD!T88</f>
        <v>0.7</v>
      </c>
      <c r="U88" s="89">
        <f>USD!U88</f>
        <v>0.85</v>
      </c>
      <c r="V88" s="89">
        <f>USD!V88</f>
        <v>0.7</v>
      </c>
      <c r="W88" s="89">
        <f>USD!W88</f>
        <v>0.9</v>
      </c>
      <c r="X88" s="89">
        <f>USD!X88</f>
        <v>0.95</v>
      </c>
      <c r="Y88" s="89">
        <f>USD!Y88</f>
        <v>1</v>
      </c>
      <c r="Z88" s="89">
        <f>USD!Z88</f>
        <v>0.9</v>
      </c>
      <c r="AA88" s="89">
        <f>USD!AA88</f>
        <v>0.85</v>
      </c>
    </row>
    <row r="89" spans="15:27" ht="33.75">
      <c r="O89" s="191" t="str">
        <f>USD!O89</f>
        <v>Тульская область (не включая г. Тула и г. Новомосковск)</v>
      </c>
      <c r="P89" s="88">
        <f>USD!P89</f>
        <v>100</v>
      </c>
      <c r="Q89" s="88">
        <f>USD!Q89</f>
        <v>85</v>
      </c>
      <c r="R89" s="89">
        <f>USD!R89</f>
        <v>0.85</v>
      </c>
      <c r="S89" s="89">
        <f>USD!S89</f>
        <v>0.85</v>
      </c>
      <c r="T89" s="89">
        <f>USD!T89</f>
        <v>0.7</v>
      </c>
      <c r="U89" s="89">
        <f>USD!U89</f>
        <v>0.85</v>
      </c>
      <c r="V89" s="89">
        <f>USD!V89</f>
        <v>0.7</v>
      </c>
      <c r="W89" s="89">
        <f>USD!W89</f>
        <v>0.85</v>
      </c>
      <c r="X89" s="89">
        <f>USD!X89</f>
        <v>0.95</v>
      </c>
      <c r="Y89" s="89">
        <f>USD!Y89</f>
        <v>1</v>
      </c>
      <c r="Z89" s="89">
        <f>USD!Z89</f>
        <v>0.9</v>
      </c>
      <c r="AA89" s="89">
        <f>USD!AA89</f>
        <v>0.85</v>
      </c>
    </row>
    <row r="90" spans="15:27" ht="12.75">
      <c r="O90" s="191" t="str">
        <f>USD!O90</f>
        <v>г. Тула</v>
      </c>
      <c r="P90" s="88">
        <f>USD!P90</f>
        <v>100</v>
      </c>
      <c r="Q90" s="88">
        <f>USD!Q90</f>
        <v>85</v>
      </c>
      <c r="R90" s="89">
        <f>USD!R90</f>
        <v>0.9</v>
      </c>
      <c r="S90" s="89">
        <f>USD!S90</f>
        <v>0.85</v>
      </c>
      <c r="T90" s="89">
        <f>USD!T90</f>
        <v>0.7</v>
      </c>
      <c r="U90" s="89">
        <f>USD!U90</f>
        <v>0.85</v>
      </c>
      <c r="V90" s="89">
        <f>USD!V90</f>
        <v>0.7</v>
      </c>
      <c r="W90" s="89">
        <f>USD!W90</f>
        <v>0.9</v>
      </c>
      <c r="X90" s="89">
        <f>USD!X90</f>
        <v>0.95</v>
      </c>
      <c r="Y90" s="89">
        <f>USD!Y90</f>
        <v>1</v>
      </c>
      <c r="Z90" s="89">
        <f>USD!Z90</f>
        <v>0.9</v>
      </c>
      <c r="AA90" s="89">
        <f>USD!AA90</f>
        <v>0.85</v>
      </c>
    </row>
    <row r="91" spans="15:27" ht="12.75">
      <c r="O91" s="191" t="str">
        <f>USD!O91</f>
        <v>г. Новомосковск</v>
      </c>
      <c r="P91" s="88">
        <f>USD!P91</f>
        <v>100</v>
      </c>
      <c r="Q91" s="88">
        <f>USD!Q91</f>
        <v>85</v>
      </c>
      <c r="R91" s="89">
        <f>USD!R91</f>
        <v>0.9</v>
      </c>
      <c r="S91" s="89">
        <f>USD!S91</f>
        <v>0.85</v>
      </c>
      <c r="T91" s="89">
        <f>USD!T91</f>
        <v>0.7</v>
      </c>
      <c r="U91" s="89">
        <f>USD!U91</f>
        <v>0.85</v>
      </c>
      <c r="V91" s="89">
        <f>USD!V91</f>
        <v>0.7</v>
      </c>
      <c r="W91" s="89">
        <f>USD!W91</f>
        <v>0.9</v>
      </c>
      <c r="X91" s="89">
        <f>USD!X91</f>
        <v>0.95</v>
      </c>
      <c r="Y91" s="89">
        <f>USD!Y91</f>
        <v>1</v>
      </c>
      <c r="Z91" s="89">
        <f>USD!Z91</f>
        <v>0.9</v>
      </c>
      <c r="AA91" s="89">
        <f>USD!AA91</f>
        <v>0.85</v>
      </c>
    </row>
    <row r="92" spans="15:27" ht="22.5">
      <c r="O92" s="191" t="str">
        <f>USD!O92</f>
        <v>Тверская область (включая г. Тверь)</v>
      </c>
      <c r="P92" s="88">
        <f>USD!P92</f>
        <v>100</v>
      </c>
      <c r="Q92" s="88">
        <f>USD!Q92</f>
        <v>85</v>
      </c>
      <c r="R92" s="89">
        <f>USD!R92</f>
        <v>0.85</v>
      </c>
      <c r="S92" s="89">
        <f>USD!S92</f>
        <v>0.85</v>
      </c>
      <c r="T92" s="89">
        <f>USD!T92</f>
        <v>0.7</v>
      </c>
      <c r="U92" s="89">
        <f>USD!U92</f>
        <v>0.85</v>
      </c>
      <c r="V92" s="89">
        <f>USD!V92</f>
        <v>0.7</v>
      </c>
      <c r="W92" s="89">
        <f>USD!W92</f>
        <v>0.85</v>
      </c>
      <c r="X92" s="89">
        <f>USD!X92</f>
        <v>0.95</v>
      </c>
      <c r="Y92" s="89">
        <f>USD!Y92</f>
        <v>1</v>
      </c>
      <c r="Z92" s="89">
        <f>USD!Z92</f>
        <v>0.9</v>
      </c>
      <c r="AA92" s="89">
        <f>USD!AA92</f>
        <v>0.85</v>
      </c>
    </row>
    <row r="93" spans="15:27" ht="22.5">
      <c r="O93" s="191" t="str">
        <f>USD!O93</f>
        <v>Томская область (не включая г. Томск)</v>
      </c>
      <c r="P93" s="88">
        <f>USD!P93</f>
        <v>100</v>
      </c>
      <c r="Q93" s="88">
        <f>USD!Q93</f>
        <v>85</v>
      </c>
      <c r="R93" s="89">
        <f>USD!R93</f>
        <v>0.85</v>
      </c>
      <c r="S93" s="89">
        <f>USD!S93</f>
        <v>0.85</v>
      </c>
      <c r="T93" s="89">
        <f>USD!T93</f>
        <v>0.7</v>
      </c>
      <c r="U93" s="89">
        <f>USD!U93</f>
        <v>0.85</v>
      </c>
      <c r="V93" s="89">
        <f>USD!V93</f>
        <v>0.7</v>
      </c>
      <c r="W93" s="89">
        <f>USD!W93</f>
        <v>0.85</v>
      </c>
      <c r="X93" s="89">
        <f>USD!X93</f>
        <v>0.95</v>
      </c>
      <c r="Y93" s="89">
        <f>USD!Y93</f>
        <v>1</v>
      </c>
      <c r="Z93" s="89">
        <f>USD!Z93</f>
        <v>0.9</v>
      </c>
      <c r="AA93" s="89">
        <f>USD!AA93</f>
        <v>0.85</v>
      </c>
    </row>
    <row r="94" spans="15:27" ht="12.75">
      <c r="O94" s="191" t="str">
        <f>USD!O94</f>
        <v>г. Томск</v>
      </c>
      <c r="P94" s="88">
        <f>USD!P94</f>
        <v>100</v>
      </c>
      <c r="Q94" s="88">
        <f>USD!Q94</f>
        <v>85</v>
      </c>
      <c r="R94" s="89">
        <f>USD!R94</f>
        <v>0.9</v>
      </c>
      <c r="S94" s="89">
        <f>USD!S94</f>
        <v>0.85</v>
      </c>
      <c r="T94" s="89">
        <f>USD!T94</f>
        <v>0.7</v>
      </c>
      <c r="U94" s="89">
        <f>USD!U94</f>
        <v>0.85</v>
      </c>
      <c r="V94" s="89">
        <f>USD!V94</f>
        <v>0.7</v>
      </c>
      <c r="W94" s="89">
        <f>USD!W94</f>
        <v>0.9</v>
      </c>
      <c r="X94" s="89">
        <f>USD!X94</f>
        <v>0.95</v>
      </c>
      <c r="Y94" s="89">
        <f>USD!Y94</f>
        <v>1</v>
      </c>
      <c r="Z94" s="89">
        <f>USD!Z94</f>
        <v>0.9</v>
      </c>
      <c r="AA94" s="89">
        <f>USD!AA94</f>
        <v>0.85</v>
      </c>
    </row>
    <row r="95" spans="15:27" ht="22.5">
      <c r="O95" s="191" t="str">
        <f>USD!O95</f>
        <v>Тюменская область (не включая г. Тюмень)</v>
      </c>
      <c r="P95" s="88">
        <f>USD!P95</f>
        <v>100</v>
      </c>
      <c r="Q95" s="88">
        <f>USD!Q95</f>
        <v>85</v>
      </c>
      <c r="R95" s="89">
        <f>USD!R95</f>
        <v>0.85</v>
      </c>
      <c r="S95" s="89">
        <f>USD!S95</f>
        <v>0.85</v>
      </c>
      <c r="T95" s="89">
        <f>USD!T95</f>
        <v>0.7</v>
      </c>
      <c r="U95" s="89">
        <f>USD!U95</f>
        <v>0.85</v>
      </c>
      <c r="V95" s="89">
        <f>USD!V95</f>
        <v>0.7</v>
      </c>
      <c r="W95" s="89">
        <f>USD!W95</f>
        <v>0.85</v>
      </c>
      <c r="X95" s="89">
        <f>USD!X95</f>
        <v>0.95</v>
      </c>
      <c r="Y95" s="89">
        <f>USD!Y95</f>
        <v>1</v>
      </c>
      <c r="Z95" s="89">
        <f>USD!Z95</f>
        <v>0.9</v>
      </c>
      <c r="AA95" s="89">
        <f>USD!AA95</f>
        <v>0.85</v>
      </c>
    </row>
    <row r="96" spans="15:27" ht="12.75">
      <c r="O96" s="191" t="str">
        <f>USD!O96</f>
        <v>г. Тюмень</v>
      </c>
      <c r="P96" s="88">
        <f>USD!P96</f>
        <v>100</v>
      </c>
      <c r="Q96" s="88">
        <f>USD!Q96</f>
        <v>85</v>
      </c>
      <c r="R96" s="89">
        <f>USD!R96</f>
        <v>0.95</v>
      </c>
      <c r="S96" s="89">
        <f>USD!S96</f>
        <v>0.95</v>
      </c>
      <c r="T96" s="89">
        <f>USD!T96</f>
        <v>0.9</v>
      </c>
      <c r="U96" s="89">
        <f>USD!U96</f>
        <v>0.95</v>
      </c>
      <c r="V96" s="89">
        <f>USD!V96</f>
        <v>0.95</v>
      </c>
      <c r="W96" s="89">
        <f>USD!W96</f>
        <v>0.95</v>
      </c>
      <c r="X96" s="89">
        <f>USD!X96</f>
        <v>0.95</v>
      </c>
      <c r="Y96" s="89">
        <f>USD!Y96</f>
        <v>1</v>
      </c>
      <c r="Z96" s="89">
        <f>USD!Z96</f>
        <v>0.9</v>
      </c>
      <c r="AA96" s="89">
        <f>USD!AA96</f>
        <v>0.85</v>
      </c>
    </row>
    <row r="97" spans="15:27" ht="22.5">
      <c r="O97" s="191" t="str">
        <f>USD!O97</f>
        <v>Ульяновская область (не включая г. Ульяновск)</v>
      </c>
      <c r="P97" s="88">
        <f>USD!P97</f>
        <v>100</v>
      </c>
      <c r="Q97" s="88">
        <f>USD!Q97</f>
        <v>85</v>
      </c>
      <c r="R97" s="89">
        <f>USD!R97</f>
        <v>0.85</v>
      </c>
      <c r="S97" s="89">
        <f>USD!S97</f>
        <v>0.85</v>
      </c>
      <c r="T97" s="89">
        <f>USD!T97</f>
        <v>0.7</v>
      </c>
      <c r="U97" s="89">
        <f>USD!U97</f>
        <v>0.85</v>
      </c>
      <c r="V97" s="89">
        <f>USD!V97</f>
        <v>0.7</v>
      </c>
      <c r="W97" s="89">
        <f>USD!W97</f>
        <v>0.85</v>
      </c>
      <c r="X97" s="89">
        <f>USD!X97</f>
        <v>0.95</v>
      </c>
      <c r="Y97" s="89">
        <f>USD!Y97</f>
        <v>1</v>
      </c>
      <c r="Z97" s="89">
        <f>USD!Z97</f>
        <v>0.9</v>
      </c>
      <c r="AA97" s="89">
        <f>USD!AA97</f>
        <v>0.85</v>
      </c>
    </row>
    <row r="98" spans="15:27" ht="12.75">
      <c r="O98" s="191" t="str">
        <f>USD!O98</f>
        <v>г. Ульяновск</v>
      </c>
      <c r="P98" s="88">
        <f>USD!P98</f>
        <v>100</v>
      </c>
      <c r="Q98" s="88">
        <f>USD!Q98</f>
        <v>85</v>
      </c>
      <c r="R98" s="89">
        <f>USD!R98</f>
        <v>0.9</v>
      </c>
      <c r="S98" s="89">
        <f>USD!S98</f>
        <v>0.85</v>
      </c>
      <c r="T98" s="89">
        <f>USD!T98</f>
        <v>0.7</v>
      </c>
      <c r="U98" s="89">
        <f>USD!U98</f>
        <v>0.85</v>
      </c>
      <c r="V98" s="89">
        <f>USD!V98</f>
        <v>0.7</v>
      </c>
      <c r="W98" s="89">
        <f>USD!W98</f>
        <v>0.9</v>
      </c>
      <c r="X98" s="89">
        <f>USD!X98</f>
        <v>0.95</v>
      </c>
      <c r="Y98" s="89">
        <f>USD!Y98</f>
        <v>1</v>
      </c>
      <c r="Z98" s="89">
        <f>USD!Z98</f>
        <v>0.9</v>
      </c>
      <c r="AA98" s="89">
        <f>USD!AA98</f>
        <v>0.85</v>
      </c>
    </row>
    <row r="99" spans="15:27" ht="22.5">
      <c r="O99" s="191" t="str">
        <f>USD!O99</f>
        <v>Хабаровский край (не включая г. Хабаровск)</v>
      </c>
      <c r="P99" s="88">
        <f>USD!P99</f>
        <v>120</v>
      </c>
      <c r="Q99" s="88">
        <f>USD!Q99</f>
        <v>100</v>
      </c>
      <c r="R99" s="89">
        <f>USD!R99</f>
        <v>0.85</v>
      </c>
      <c r="S99" s="89">
        <f>USD!S99</f>
        <v>0.85</v>
      </c>
      <c r="T99" s="89">
        <f>USD!T99</f>
        <v>0.7</v>
      </c>
      <c r="U99" s="89">
        <f>USD!U99</f>
        <v>0.85</v>
      </c>
      <c r="V99" s="89">
        <f>USD!V99</f>
        <v>0.7</v>
      </c>
      <c r="W99" s="89">
        <f>USD!W99</f>
        <v>0.85</v>
      </c>
      <c r="X99" s="89">
        <f>USD!X99</f>
        <v>0.95</v>
      </c>
      <c r="Y99" s="89">
        <f>USD!Y99</f>
        <v>1</v>
      </c>
      <c r="Z99" s="89">
        <f>USD!Z99</f>
        <v>0.9</v>
      </c>
      <c r="AA99" s="89">
        <f>USD!AA99</f>
        <v>0.85</v>
      </c>
    </row>
    <row r="100" spans="15:27" ht="12.75">
      <c r="O100" s="191" t="str">
        <f>USD!O100</f>
        <v>г. Хабаровск</v>
      </c>
      <c r="P100" s="88">
        <f>USD!P100</f>
        <v>120</v>
      </c>
      <c r="Q100" s="88">
        <f>USD!Q100</f>
        <v>100</v>
      </c>
      <c r="R100" s="89">
        <f>USD!R100</f>
        <v>0.95</v>
      </c>
      <c r="S100" s="89">
        <f>USD!S100</f>
        <v>0.95</v>
      </c>
      <c r="T100" s="89">
        <f>USD!T100</f>
        <v>0.9</v>
      </c>
      <c r="U100" s="89">
        <f>USD!U100</f>
        <v>0.95</v>
      </c>
      <c r="V100" s="89">
        <f>USD!V100</f>
        <v>0.95</v>
      </c>
      <c r="W100" s="89">
        <f>USD!W100</f>
        <v>0.95</v>
      </c>
      <c r="X100" s="89">
        <f>USD!X100</f>
        <v>0.95</v>
      </c>
      <c r="Y100" s="89">
        <f>USD!Y100</f>
        <v>1</v>
      </c>
      <c r="Z100" s="89">
        <f>USD!Z100</f>
        <v>0.9</v>
      </c>
      <c r="AA100" s="89">
        <f>USD!AA100</f>
        <v>0.85</v>
      </c>
    </row>
    <row r="101" spans="15:27" ht="22.5">
      <c r="O101" s="191" t="str">
        <f>USD!O101</f>
        <v>Челябинская область (не включая г. Челябинск)</v>
      </c>
      <c r="P101" s="88">
        <f>USD!P101</f>
        <v>100</v>
      </c>
      <c r="Q101" s="88">
        <f>USD!Q101</f>
        <v>85</v>
      </c>
      <c r="R101" s="89">
        <f>USD!R101</f>
        <v>0.85</v>
      </c>
      <c r="S101" s="89">
        <f>USD!S101</f>
        <v>0.85</v>
      </c>
      <c r="T101" s="89">
        <f>USD!T101</f>
        <v>0.7</v>
      </c>
      <c r="U101" s="89">
        <f>USD!U101</f>
        <v>0.85</v>
      </c>
      <c r="V101" s="89">
        <f>USD!V101</f>
        <v>0.7</v>
      </c>
      <c r="W101" s="89">
        <f>USD!W101</f>
        <v>0.85</v>
      </c>
      <c r="X101" s="89">
        <f>USD!X101</f>
        <v>0.95</v>
      </c>
      <c r="Y101" s="89">
        <f>USD!Y101</f>
        <v>1</v>
      </c>
      <c r="Z101" s="89">
        <f>USD!Z101</f>
        <v>0.9</v>
      </c>
      <c r="AA101" s="89">
        <f>USD!AA101</f>
        <v>0.85</v>
      </c>
    </row>
    <row r="102" spans="15:27" ht="12.75">
      <c r="O102" s="191" t="str">
        <f>USD!O102</f>
        <v>г. Челябинск</v>
      </c>
      <c r="P102" s="88">
        <f>USD!P102</f>
        <v>100</v>
      </c>
      <c r="Q102" s="88">
        <f>USD!Q102</f>
        <v>85</v>
      </c>
      <c r="R102" s="89">
        <f>USD!R102</f>
        <v>0.9</v>
      </c>
      <c r="S102" s="89">
        <f>USD!S102</f>
        <v>0.85</v>
      </c>
      <c r="T102" s="89">
        <f>USD!T102</f>
        <v>0.7</v>
      </c>
      <c r="U102" s="89">
        <f>USD!U102</f>
        <v>0.85</v>
      </c>
      <c r="V102" s="89">
        <f>USD!V102</f>
        <v>0.7</v>
      </c>
      <c r="W102" s="89">
        <f>USD!W102</f>
        <v>0.9</v>
      </c>
      <c r="X102" s="89">
        <f>USD!X102</f>
        <v>0.95</v>
      </c>
      <c r="Y102" s="89">
        <f>USD!Y102</f>
        <v>1</v>
      </c>
      <c r="Z102" s="89">
        <f>USD!Z102</f>
        <v>0.9</v>
      </c>
      <c r="AA102" s="89">
        <f>USD!AA102</f>
        <v>0.85</v>
      </c>
    </row>
    <row r="103" spans="15:27" ht="22.5">
      <c r="O103" s="191" t="str">
        <f>USD!O103</f>
        <v>Чувашская республика (включая г. Чебоксары)</v>
      </c>
      <c r="P103" s="88">
        <f>USD!P103</f>
        <v>100</v>
      </c>
      <c r="Q103" s="88">
        <f>USD!Q103</f>
        <v>85</v>
      </c>
      <c r="R103" s="89">
        <f>USD!R103</f>
        <v>0.85</v>
      </c>
      <c r="S103" s="89">
        <f>USD!S103</f>
        <v>0.85</v>
      </c>
      <c r="T103" s="89">
        <f>USD!T103</f>
        <v>0.7</v>
      </c>
      <c r="U103" s="89">
        <f>USD!U103</f>
        <v>0.85</v>
      </c>
      <c r="V103" s="89">
        <f>USD!V103</f>
        <v>0.7</v>
      </c>
      <c r="W103" s="89">
        <f>USD!W103</f>
        <v>0.85</v>
      </c>
      <c r="X103" s="89">
        <f>USD!X103</f>
        <v>0.95</v>
      </c>
      <c r="Y103" s="89">
        <f>USD!Y103</f>
        <v>1</v>
      </c>
      <c r="Z103" s="89">
        <f>USD!Z103</f>
        <v>0.9</v>
      </c>
      <c r="AA103" s="89">
        <f>USD!AA103</f>
        <v>0.85</v>
      </c>
    </row>
    <row r="104" spans="15:27" ht="22.5">
      <c r="O104" s="191" t="str">
        <f>USD!O104</f>
        <v>Ярославская область (не включая г. Ярославль)</v>
      </c>
      <c r="P104" s="88">
        <f>USD!P104</f>
        <v>100</v>
      </c>
      <c r="Q104" s="88">
        <f>USD!Q104</f>
        <v>85</v>
      </c>
      <c r="R104" s="89">
        <f>USD!R104</f>
        <v>0.85</v>
      </c>
      <c r="S104" s="89">
        <f>USD!S104</f>
        <v>0.85</v>
      </c>
      <c r="T104" s="89">
        <f>USD!T104</f>
        <v>0.7</v>
      </c>
      <c r="U104" s="89">
        <f>USD!U104</f>
        <v>0.85</v>
      </c>
      <c r="V104" s="89">
        <f>USD!V104</f>
        <v>0.7</v>
      </c>
      <c r="W104" s="89">
        <f>USD!W104</f>
        <v>0.85</v>
      </c>
      <c r="X104" s="89">
        <f>USD!X104</f>
        <v>0.95</v>
      </c>
      <c r="Y104" s="89">
        <f>USD!Y104</f>
        <v>1</v>
      </c>
      <c r="Z104" s="89">
        <f>USD!Z104</f>
        <v>0.9</v>
      </c>
      <c r="AA104" s="89">
        <f>USD!AA104</f>
        <v>0.85</v>
      </c>
    </row>
    <row r="105" spans="15:27" ht="12.75">
      <c r="O105" s="191" t="str">
        <f>USD!O105</f>
        <v>г. Ярославль</v>
      </c>
      <c r="P105" s="88">
        <f>USD!P105</f>
        <v>100</v>
      </c>
      <c r="Q105" s="88">
        <f>USD!Q105</f>
        <v>85</v>
      </c>
      <c r="R105" s="89">
        <f>USD!R105</f>
        <v>0.9</v>
      </c>
      <c r="S105" s="89">
        <f>USD!S105</f>
        <v>0.85</v>
      </c>
      <c r="T105" s="89">
        <f>USD!T105</f>
        <v>0.7</v>
      </c>
      <c r="U105" s="89">
        <f>USD!U105</f>
        <v>0.85</v>
      </c>
      <c r="V105" s="89">
        <f>USD!V105</f>
        <v>0.7</v>
      </c>
      <c r="W105" s="89">
        <f>USD!W105</f>
        <v>0.9</v>
      </c>
      <c r="X105" s="89">
        <f>USD!X105</f>
        <v>0.95</v>
      </c>
      <c r="Y105" s="89">
        <f>USD!Y105</f>
        <v>1</v>
      </c>
      <c r="Z105" s="89">
        <f>USD!Z105</f>
        <v>0.9</v>
      </c>
      <c r="AA105" s="89">
        <f>USD!AA105</f>
        <v>0.85</v>
      </c>
    </row>
  </sheetData>
  <sheetProtection password="84F1" sheet="1" objects="1" scenarios="1"/>
  <mergeCells count="14">
    <mergeCell ref="B2:H2"/>
    <mergeCell ref="A5:B5"/>
    <mergeCell ref="G4:H4"/>
    <mergeCell ref="A4:B4"/>
    <mergeCell ref="E4:F4"/>
    <mergeCell ref="E5:F5"/>
    <mergeCell ref="G5:H5"/>
    <mergeCell ref="G6:H6"/>
    <mergeCell ref="D7:F7"/>
    <mergeCell ref="G7:H7"/>
    <mergeCell ref="Y26:AA26"/>
    <mergeCell ref="U26:V26"/>
    <mergeCell ref="W26:X26"/>
    <mergeCell ref="D6:F6"/>
  </mergeCells>
  <dataValidations count="5">
    <dataValidation type="whole" operator="lessThanOrEqual" allowBlank="1" showErrorMessage="1" promptTitle="ошибка " errorTitle="Ошибка ввода" error="Срок кредита не может быть более 25 лет." sqref="C4">
      <formula1>25</formula1>
    </dataValidation>
    <dataValidation operator="lessThanOrEqual" allowBlank="1" showInputMessage="1" showErrorMessage="1" sqref="B10 D12"/>
    <dataValidation type="list" allowBlank="1" showInputMessage="1" showErrorMessage="1" sqref="B2:H2">
      <formula1>$O$28:$O$105</formula1>
    </dataValidation>
    <dataValidation type="list" allowBlank="1" showInputMessage="1" showErrorMessage="1" sqref="G5:H5">
      <formula1>$Q$3:$Q$4</formula1>
    </dataValidation>
    <dataValidation type="whole" allowBlank="1" showInputMessage="1" showErrorMessage="1" sqref="G7:H7">
      <formula1>1</formula1>
      <formula2>6</formula2>
    </dataValidation>
  </dataValidations>
  <printOptions/>
  <pageMargins left="0.75" right="0.75" top="1" bottom="1" header="0.5" footer="0.5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VTB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Михаил Бардин</dc:creator>
  <cp:keywords/>
  <dc:description/>
  <cp:lastModifiedBy>Economy22</cp:lastModifiedBy>
  <cp:lastPrinted>2004-03-30T10:52:50Z</cp:lastPrinted>
  <dcterms:created xsi:type="dcterms:W3CDTF">2003-10-01T05:13:25Z</dcterms:created>
  <dcterms:modified xsi:type="dcterms:W3CDTF">2006-10-24T07:38:33Z</dcterms:modified>
  <cp:category/>
  <cp:version/>
  <cp:contentType/>
  <cp:contentStatus/>
</cp:coreProperties>
</file>